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 3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X3">
      <text>
        <t xml:space="preserve">Segun Calculo al 05 de Agosto de 2021, tomando el total de los acuerdos ingresados a CABA, el desfase promedio es de 0,5 años.</t>
      </text>
    </comment>
    <comment authorId="0" ref="X7">
      <text>
        <t xml:space="preserve">Segun calculo en base a 2004-2020
</t>
      </text>
    </comment>
    <comment authorId="0" ref="Y8">
      <text>
        <t xml:space="preserve">204 es el valor promedio de las reducciones, al informe 2020.
Este corresponde al valor del año</t>
      </text>
    </comment>
  </commentList>
</comments>
</file>

<file path=xl/sharedStrings.xml><?xml version="1.0" encoding="utf-8"?>
<sst xmlns="http://schemas.openxmlformats.org/spreadsheetml/2006/main" count="121" uniqueCount="88">
  <si>
    <t>Año</t>
  </si>
  <si>
    <t>TOTAL 2020-3030</t>
  </si>
  <si>
    <t>Supuestos</t>
  </si>
  <si>
    <t>Adhesiones</t>
  </si>
  <si>
    <t>Adhesiones por año tras 2020</t>
  </si>
  <si>
    <t>Establecimientos</t>
  </si>
  <si>
    <t>Certificaciones</t>
  </si>
  <si>
    <t>Tiempo entre firma y adhesión (y recolección de datos para línea base)</t>
  </si>
  <si>
    <t>años</t>
  </si>
  <si>
    <t>Impactos del año t para el reporte elaborado en año t</t>
  </si>
  <si>
    <t>NA</t>
  </si>
  <si>
    <t>Tiempo entre firma y certificación</t>
  </si>
  <si>
    <t>IMPACTOS EN UN AÑO, DADO UN AÑO DE REPORTE</t>
  </si>
  <si>
    <t>Obsolecencia Tecnológica APL</t>
  </si>
  <si>
    <t>Año reporte/Año Impacto</t>
  </si>
  <si>
    <t>Tasa Certificacion APL que finaliza</t>
  </si>
  <si>
    <t>Tasa Detención APL</t>
  </si>
  <si>
    <t>Reducciones/Instalación</t>
  </si>
  <si>
    <t>Ton CO2e</t>
  </si>
  <si>
    <t>Reducción Micro</t>
  </si>
  <si>
    <t>Reducción Pequeña</t>
  </si>
  <si>
    <t>Reducción Mediana</t>
  </si>
  <si>
    <t>Reducción Grande</t>
  </si>
  <si>
    <t>Adhesiones post 2020</t>
  </si>
  <si>
    <t>Tiempo entre firma y línea base</t>
  </si>
  <si>
    <t>Tasa certificación</t>
  </si>
  <si>
    <t>Tasa Detención</t>
  </si>
  <si>
    <t>Simulación reducción (Ton Co2eq)</t>
  </si>
  <si>
    <t>Simulacion cobeneficios (uf)</t>
  </si>
  <si>
    <t>Calculo por instalación productiva</t>
  </si>
  <si>
    <t>5.</t>
  </si>
  <si>
    <t>6.</t>
  </si>
  <si>
    <t>7.</t>
  </si>
  <si>
    <t>8.</t>
  </si>
  <si>
    <t>9.</t>
  </si>
  <si>
    <t>Instalaciones consideradas por año</t>
  </si>
  <si>
    <t>Impactos Año GEI</t>
  </si>
  <si>
    <t>Impactos Año Cobeneficios (UF)</t>
  </si>
  <si>
    <t>Promedio Anual GEI</t>
  </si>
  <si>
    <t>ODS 13, GEI Usos de la Tierra (tCO2e)</t>
  </si>
  <si>
    <t>ODS 13, GEI Residuos (tCO2e)</t>
  </si>
  <si>
    <t>ODS 13, GEI Procesos Industriales (tCO2e)</t>
  </si>
  <si>
    <t>ODS 13, GEI Otros (tCO2e)</t>
  </si>
  <si>
    <t>ODS 13, GEI Energía (tCO2e)</t>
  </si>
  <si>
    <t>2012</t>
  </si>
  <si>
    <t>Dolar</t>
  </si>
  <si>
    <t>Total 2012 2020</t>
  </si>
  <si>
    <t>2013</t>
  </si>
  <si>
    <t>UF</t>
  </si>
  <si>
    <t>Instalaciones consideradas</t>
  </si>
  <si>
    <t>2014</t>
  </si>
  <si>
    <t>Años en el periodo</t>
  </si>
  <si>
    <t>2015</t>
  </si>
  <si>
    <t>Resultado por instalacion</t>
  </si>
  <si>
    <t>2016</t>
  </si>
  <si>
    <t>Presupuesto 2020</t>
  </si>
  <si>
    <t>Instalaciones</t>
  </si>
  <si>
    <t>Impacto reportado Al 2030</t>
  </si>
  <si>
    <t>Al 2035</t>
  </si>
  <si>
    <t>año 2020 tenemos calculo</t>
  </si>
  <si>
    <t>2017</t>
  </si>
  <si>
    <t>Minimo</t>
  </si>
  <si>
    <t>2018</t>
  </si>
  <si>
    <t>Mediana</t>
  </si>
  <si>
    <t>2019</t>
  </si>
  <si>
    <t xml:space="preserve">Promedio </t>
  </si>
  <si>
    <t>2020</t>
  </si>
  <si>
    <t>Máximo</t>
  </si>
  <si>
    <t>Promedio</t>
  </si>
  <si>
    <t xml:space="preserve">Resultado por año </t>
  </si>
  <si>
    <t>Year</t>
  </si>
  <si>
    <t>Cumulative expected effect (Tons of CO2 Equivalent)</t>
  </si>
  <si>
    <t>Impactos</t>
  </si>
  <si>
    <t>Impacto Esperado</t>
  </si>
  <si>
    <t>Mínimo adhesiones</t>
  </si>
  <si>
    <t>Mediana Adhesiones</t>
  </si>
  <si>
    <t>Promedio Adhesiones</t>
  </si>
  <si>
    <t>Certificación 22%</t>
  </si>
  <si>
    <t>Certificación 44%</t>
  </si>
  <si>
    <t>Certificación 66%</t>
  </si>
  <si>
    <t>6% Detención</t>
  </si>
  <si>
    <t>14% Detención</t>
  </si>
  <si>
    <t>22% Detención</t>
  </si>
  <si>
    <t>153 Ton impacto co2e</t>
  </si>
  <si>
    <t>204 Ton impacto co2e</t>
  </si>
  <si>
    <t>306 Ton impacto co2e</t>
  </si>
  <si>
    <t>408 Ton impacto co2e</t>
  </si>
  <si>
    <t xml:space="preserve">Efecto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</si>
</sst>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7">
    <font>
      <sz val="10.0"/>
      <color rgb="FF000000"/>
      <name val="Arial"/>
    </font>
    <font>
      <b/>
      <color theme="1"/>
      <name val="Arial"/>
    </font>
    <font/>
    <font>
      <color theme="1"/>
      <name val="Arial"/>
    </font>
    <font>
      <sz val="12.0"/>
      <color rgb="FFFFFFFF"/>
      <name val="Montserrat"/>
    </font>
    <font>
      <b/>
      <color theme="1"/>
      <name val="Raleway"/>
    </font>
    <font>
      <sz val="8.0"/>
      <color rgb="FF706F6F"/>
      <name val="&quot;Helvetica Neue&quot;"/>
    </font>
  </fonts>
  <fills count="5">
    <fill>
      <patternFill patternType="none"/>
    </fill>
    <fill>
      <patternFill patternType="lightGray"/>
    </fill>
    <fill>
      <patternFill patternType="solid">
        <fgColor rgb="FF3F7E44"/>
        <bgColor rgb="FF3F7E44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center"/>
    </xf>
    <xf borderId="2" fillId="0" fontId="1" numFmtId="0" xfId="0" applyAlignment="1" applyBorder="1" applyFont="1">
      <alignment readingOrder="0" vertical="center"/>
    </xf>
    <xf borderId="3" fillId="0" fontId="1" numFmtId="0" xfId="0" applyAlignment="1" applyBorder="1" applyFont="1">
      <alignment readingOrder="0" vertical="center"/>
    </xf>
    <xf borderId="0" fillId="0" fontId="1" numFmtId="0" xfId="0" applyAlignment="1" applyFont="1">
      <alignment horizontal="center" readingOrder="0" shrinkToFit="0" vertical="center" wrapText="1"/>
    </xf>
    <xf borderId="4" fillId="0" fontId="1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readingOrder="0" vertical="center"/>
    </xf>
    <xf borderId="0" fillId="0" fontId="3" numFmtId="0" xfId="0" applyAlignment="1" applyFont="1">
      <alignment readingOrder="0" vertical="center"/>
    </xf>
    <xf borderId="0" fillId="0" fontId="3" numFmtId="0" xfId="0" applyFont="1"/>
    <xf borderId="7" fillId="0" fontId="3" numFmtId="0" xfId="0" applyAlignment="1" applyBorder="1" applyFont="1">
      <alignment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8" fillId="0" fontId="3" numFmtId="0" xfId="0" applyAlignment="1" applyBorder="1" applyFont="1">
      <alignment readingOrder="0" shrinkToFit="0" vertical="center" wrapText="1"/>
    </xf>
    <xf borderId="0" fillId="0" fontId="3" numFmtId="1" xfId="0" applyAlignment="1" applyFont="1" applyNumberFormat="1">
      <alignment readingOrder="0" vertical="center"/>
    </xf>
    <xf borderId="7" fillId="0" fontId="3" numFmtId="1" xfId="0" applyAlignment="1" applyBorder="1" applyFont="1" applyNumberFormat="1">
      <alignment readingOrder="0" vertical="center"/>
    </xf>
    <xf borderId="0" fillId="0" fontId="3" numFmtId="1" xfId="0" applyAlignment="1" applyFont="1" applyNumberFormat="1">
      <alignment vertical="center"/>
    </xf>
    <xf borderId="8" fillId="0" fontId="3" numFmtId="1" xfId="0" applyAlignment="1" applyBorder="1" applyFont="1" applyNumberFormat="1">
      <alignment vertical="center"/>
    </xf>
    <xf borderId="0" fillId="0" fontId="3" numFmtId="1" xfId="0" applyFont="1" applyNumberFormat="1"/>
    <xf borderId="9" fillId="0" fontId="3" numFmtId="0" xfId="0" applyAlignment="1" applyBorder="1" applyFont="1">
      <alignment readingOrder="0" shrinkToFit="0" vertical="center" wrapText="1"/>
    </xf>
    <xf borderId="10" fillId="0" fontId="3" numFmtId="3" xfId="0" applyAlignment="1" applyBorder="1" applyFont="1" applyNumberFormat="1">
      <alignment vertical="center"/>
    </xf>
    <xf borderId="10" fillId="0" fontId="1" numFmtId="3" xfId="0" applyAlignment="1" applyBorder="1" applyFont="1" applyNumberFormat="1">
      <alignment vertical="center"/>
    </xf>
    <xf borderId="9" fillId="0" fontId="3" numFmtId="3" xfId="0" applyAlignment="1" applyBorder="1" applyFont="1" applyNumberFormat="1">
      <alignment vertical="center"/>
    </xf>
    <xf borderId="11" fillId="0" fontId="3" numFmtId="3" xfId="0" applyAlignment="1" applyBorder="1" applyFont="1" applyNumberFormat="1">
      <alignment vertical="center"/>
    </xf>
    <xf borderId="0" fillId="0" fontId="3" numFmtId="0" xfId="0" applyAlignment="1" applyFont="1">
      <alignment readingOrder="0"/>
    </xf>
    <xf borderId="4" fillId="0" fontId="1" numFmtId="0" xfId="0" applyAlignment="1" applyBorder="1" applyFont="1">
      <alignment readingOrder="0" shrinkToFit="0" vertical="center" wrapText="1"/>
    </xf>
    <xf borderId="4" fillId="0" fontId="1" numFmtId="0" xfId="0" applyAlignment="1" applyBorder="1" applyFont="1">
      <alignment readingOrder="0" vertical="center"/>
    </xf>
    <xf borderId="12" fillId="0" fontId="1" numFmtId="0" xfId="0" applyAlignment="1" applyBorder="1" applyFont="1">
      <alignment readingOrder="0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0" fillId="0" fontId="3" numFmtId="9" xfId="0" applyAlignment="1" applyFont="1" applyNumberFormat="1">
      <alignment readingOrder="0" shrinkToFit="0" vertical="center" wrapText="1"/>
    </xf>
    <xf borderId="8" fillId="0" fontId="3" numFmtId="0" xfId="0" applyAlignment="1" applyBorder="1" applyFont="1">
      <alignment shrinkToFit="0" vertical="center" wrapText="1"/>
    </xf>
    <xf borderId="13" fillId="0" fontId="1" numFmtId="0" xfId="0" applyAlignment="1" applyBorder="1" applyFont="1">
      <alignment readingOrder="0" vertical="center"/>
    </xf>
    <xf borderId="7" fillId="0" fontId="3" numFmtId="1" xfId="0" applyAlignment="1" applyBorder="1" applyFont="1" applyNumberFormat="1">
      <alignment vertical="center"/>
    </xf>
    <xf borderId="8" fillId="0" fontId="1" numFmtId="1" xfId="0" applyBorder="1" applyFont="1" applyNumberFormat="1"/>
    <xf borderId="10" fillId="0" fontId="3" numFmtId="0" xfId="0" applyAlignment="1" applyBorder="1" applyFont="1">
      <alignment readingOrder="0" shrinkToFit="0" vertical="center" wrapText="1"/>
    </xf>
    <xf borderId="11" fillId="0" fontId="3" numFmtId="0" xfId="0" applyAlignment="1" applyBorder="1" applyFont="1">
      <alignment readingOrder="0" shrinkToFit="0" vertical="center" wrapText="1"/>
    </xf>
    <xf borderId="0" fillId="0" fontId="3" numFmtId="0" xfId="0" applyAlignment="1" applyFont="1">
      <alignment vertical="center"/>
    </xf>
    <xf borderId="0" fillId="0" fontId="3" numFmtId="3" xfId="0" applyAlignment="1" applyFont="1" applyNumberFormat="1">
      <alignment vertical="center"/>
    </xf>
    <xf borderId="7" fillId="0" fontId="3" numFmtId="3" xfId="0" applyAlignment="1" applyBorder="1" applyFont="1" applyNumberFormat="1">
      <alignment vertical="center"/>
    </xf>
    <xf borderId="8" fillId="0" fontId="1" numFmtId="3" xfId="0" applyBorder="1" applyFont="1" applyNumberFormat="1"/>
    <xf borderId="0" fillId="0" fontId="3" numFmtId="1" xfId="0" applyAlignment="1" applyFont="1" applyNumberFormat="1">
      <alignment readingOrder="0" shrinkToFit="0" vertical="center" wrapText="1"/>
    </xf>
    <xf borderId="0" fillId="0" fontId="3" numFmtId="3" xfId="0" applyFont="1" applyNumberFormat="1"/>
    <xf borderId="0" fillId="0" fontId="1" numFmtId="3" xfId="0" applyAlignment="1" applyFont="1" applyNumberFormat="1">
      <alignment vertical="center"/>
    </xf>
    <xf borderId="14" fillId="0" fontId="1" numFmtId="0" xfId="0" applyAlignment="1" applyBorder="1" applyFont="1">
      <alignment readingOrder="0" vertical="center"/>
    </xf>
    <xf borderId="5" fillId="0" fontId="3" numFmtId="1" xfId="0" applyAlignment="1" applyBorder="1" applyFont="1" applyNumberFormat="1">
      <alignment vertical="center"/>
    </xf>
    <xf borderId="5" fillId="0" fontId="3" numFmtId="3" xfId="0" applyAlignment="1" applyBorder="1" applyFont="1" applyNumberFormat="1">
      <alignment vertical="center"/>
    </xf>
    <xf borderId="4" fillId="0" fontId="3" numFmtId="3" xfId="0" applyAlignment="1" applyBorder="1" applyFont="1" applyNumberFormat="1">
      <alignment vertical="center"/>
    </xf>
    <xf borderId="6" fillId="0" fontId="1" numFmtId="3" xfId="0" applyBorder="1" applyFont="1" applyNumberFormat="1"/>
    <xf borderId="0" fillId="0" fontId="3" numFmtId="0" xfId="0" applyAlignment="1" applyFont="1">
      <alignment readingOrder="0" vertical="center"/>
    </xf>
    <xf borderId="15" fillId="0" fontId="1" numFmtId="0" xfId="0" applyAlignment="1" applyBorder="1" applyFont="1">
      <alignment readingOrder="0" vertical="center"/>
    </xf>
    <xf borderId="10" fillId="0" fontId="3" numFmtId="1" xfId="0" applyAlignment="1" applyBorder="1" applyFont="1" applyNumberFormat="1">
      <alignment vertical="center"/>
    </xf>
    <xf borderId="11" fillId="0" fontId="1" numFmtId="3" xfId="0" applyBorder="1" applyFont="1" applyNumberFormat="1"/>
    <xf borderId="0" fillId="0" fontId="1" numFmtId="0" xfId="0" applyAlignment="1" applyFont="1">
      <alignment readingOrder="0" vertical="center"/>
    </xf>
    <xf borderId="0" fillId="0" fontId="1" numFmtId="0" xfId="0" applyFont="1"/>
    <xf borderId="0" fillId="2" fontId="4" numFmtId="0" xfId="0" applyAlignment="1" applyFill="1" applyFont="1">
      <alignment horizontal="left" readingOrder="0" shrinkToFit="0" wrapText="0"/>
    </xf>
    <xf borderId="12" fillId="0" fontId="5" numFmtId="3" xfId="0" applyAlignment="1" applyBorder="1" applyFont="1" applyNumberFormat="1">
      <alignment horizontal="center" readingOrder="0" shrinkToFit="0" vertical="center" wrapText="1"/>
    </xf>
    <xf borderId="0" fillId="2" fontId="4" numFmtId="0" xfId="0" applyAlignment="1" applyFont="1">
      <alignment horizontal="left" readingOrder="0" shrinkToFit="0" wrapText="1"/>
    </xf>
    <xf borderId="12" fillId="0" fontId="5" numFmtId="49" xfId="0" applyAlignment="1" applyBorder="1" applyFont="1" applyNumberFormat="1">
      <alignment horizontal="center" readingOrder="0"/>
    </xf>
    <xf borderId="12" fillId="0" fontId="5" numFmtId="3" xfId="0" applyAlignment="1" applyBorder="1" applyFont="1" applyNumberFormat="1">
      <alignment horizontal="center" readingOrder="0"/>
    </xf>
    <xf borderId="12" fillId="0" fontId="5" numFmtId="3" xfId="0" applyAlignment="1" applyBorder="1" applyFont="1" applyNumberFormat="1">
      <alignment readingOrder="0"/>
    </xf>
    <xf borderId="12" fillId="0" fontId="5" numFmtId="3" xfId="0" applyBorder="1" applyFont="1" applyNumberFormat="1"/>
    <xf borderId="0" fillId="3" fontId="6" numFmtId="0" xfId="0" applyAlignment="1" applyFill="1" applyFont="1">
      <alignment horizontal="right" readingOrder="0"/>
    </xf>
    <xf borderId="0" fillId="2" fontId="4" numFmtId="0" xfId="0" applyAlignment="1" applyFont="1">
      <alignment horizontal="right" readingOrder="0" shrinkToFit="0" wrapText="0"/>
    </xf>
    <xf borderId="0" fillId="2" fontId="4" numFmtId="3" xfId="0" applyAlignment="1" applyFont="1" applyNumberFormat="1">
      <alignment horizontal="right" readingOrder="0" shrinkToFit="0" wrapText="0"/>
    </xf>
    <xf borderId="0" fillId="0" fontId="3" numFmtId="3" xfId="0" applyAlignment="1" applyFont="1" applyNumberFormat="1">
      <alignment readingOrder="0" vertical="center"/>
    </xf>
    <xf borderId="0" fillId="4" fontId="6" numFmtId="4" xfId="0" applyAlignment="1" applyFill="1" applyFont="1" applyNumberFormat="1">
      <alignment horizontal="right" readingOrder="0"/>
    </xf>
    <xf borderId="0" fillId="0" fontId="3" numFmtId="164" xfId="0" applyFont="1" applyNumberFormat="1"/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0" fontId="1" numFmtId="0" xfId="0" applyAlignment="1" applyFont="1">
      <alignment readingOrder="0"/>
    </xf>
    <xf borderId="12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readingOrder="0" vertical="center"/>
    </xf>
    <xf borderId="0" fillId="0" fontId="3" numFmtId="3" xfId="0" applyAlignment="1" applyFont="1" applyNumberFormat="1">
      <alignment readingOrder="0"/>
    </xf>
    <xf borderId="0" fillId="0" fontId="3" numFmtId="4" xfId="0" applyFont="1" applyNumberFormat="1"/>
    <xf borderId="12" fillId="0" fontId="3" numFmtId="3" xfId="0" applyAlignment="1" applyBorder="1" applyFont="1" applyNumberFormat="1">
      <alignment horizontal="center" vertical="center"/>
    </xf>
    <xf borderId="12" fillId="0" fontId="3" numFmtId="1" xfId="0" applyAlignment="1" applyBorder="1" applyFont="1" applyNumberFormat="1">
      <alignment horizontal="center" vertical="center"/>
    </xf>
    <xf borderId="12" fillId="0" fontId="5" numFmtId="0" xfId="0" applyAlignment="1" applyBorder="1" applyFont="1">
      <alignment readingOrder="0"/>
    </xf>
    <xf borderId="12" fillId="0" fontId="1" numFmtId="3" xfId="0" applyAlignment="1" applyBorder="1" applyFont="1" applyNumberFormat="1">
      <alignment horizontal="center" readingOrder="0" shrinkToFit="0" vertical="center" wrapText="1"/>
    </xf>
    <xf borderId="12" fillId="0" fontId="1" numFmtId="0" xfId="0" applyAlignment="1" applyBorder="1" applyFont="1">
      <alignment readingOrder="0"/>
    </xf>
    <xf borderId="12" fillId="0" fontId="1" numFmtId="3" xfId="0" applyBorder="1" applyFont="1" applyNumberFormat="1"/>
    <xf borderId="12" fillId="0" fontId="3" numFmtId="3" xfId="0" applyBorder="1" applyFont="1" applyNumberFormat="1"/>
    <xf borderId="12" fillId="0" fontId="1" numFmtId="3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Impactos NAMA APL 2021 2030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'Hoja 3'!$E$31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'Hoja 3'!$D$32:$D$47</c:f>
            </c:strRef>
          </c:cat>
          <c:val>
            <c:numRef>
              <c:f>'Hoja 3'!$E$32:$E$47</c:f>
              <c:numCache/>
            </c:numRef>
          </c:val>
          <c:smooth val="0"/>
        </c:ser>
        <c:ser>
          <c:idx val="1"/>
          <c:order val="1"/>
          <c:tx>
            <c:strRef>
              <c:f>'Hoja 3'!$F$31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'Hoja 3'!$D$32:$D$47</c:f>
            </c:strRef>
          </c:cat>
          <c:val>
            <c:numRef>
              <c:f>'Hoja 3'!$F$32:$F$47</c:f>
              <c:numCache/>
            </c:numRef>
          </c:val>
          <c:smooth val="0"/>
        </c:ser>
        <c:ser>
          <c:idx val="2"/>
          <c:order val="2"/>
          <c:tx>
            <c:strRef>
              <c:f>'Hoja 3'!$G$31</c:f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'Hoja 3'!$D$32:$D$47</c:f>
            </c:strRef>
          </c:cat>
          <c:val>
            <c:numRef>
              <c:f>'Hoja 3'!$G$32:$G$47</c:f>
              <c:numCache/>
            </c:numRef>
          </c:val>
          <c:smooth val="0"/>
        </c:ser>
        <c:axId val="1381579116"/>
        <c:axId val="1131535354"/>
      </c:lineChart>
      <c:catAx>
        <c:axId val="13815791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Año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1535354"/>
      </c:catAx>
      <c:valAx>
        <c:axId val="1131535354"/>
        <c:scaling>
          <c:orientation val="minMax"/>
          <c:max val="28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8157911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Impactos NAMA APL 2021 2030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'Hoja 3'!$K$31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'Hoja 3'!$J$32:$J$42</c:f>
            </c:strRef>
          </c:cat>
          <c:val>
            <c:numRef>
              <c:f>'Hoja 3'!$K$32:$K$42</c:f>
              <c:numCache/>
            </c:numRef>
          </c:val>
          <c:smooth val="0"/>
        </c:ser>
        <c:ser>
          <c:idx val="1"/>
          <c:order val="1"/>
          <c:tx>
            <c:strRef>
              <c:f>'Hoja 3'!$L$31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'Hoja 3'!$J$32:$J$42</c:f>
            </c:strRef>
          </c:cat>
          <c:val>
            <c:numRef>
              <c:f>'Hoja 3'!$L$32:$L$42</c:f>
              <c:numCache/>
            </c:numRef>
          </c:val>
          <c:smooth val="0"/>
        </c:ser>
        <c:ser>
          <c:idx val="2"/>
          <c:order val="2"/>
          <c:tx>
            <c:strRef>
              <c:f>'Hoja 3'!$M$31</c:f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'Hoja 3'!$J$32:$J$42</c:f>
            </c:strRef>
          </c:cat>
          <c:val>
            <c:numRef>
              <c:f>'Hoja 3'!$M$32:$M$42</c:f>
              <c:numCache/>
            </c:numRef>
          </c:val>
          <c:smooth val="0"/>
        </c:ser>
        <c:axId val="692253601"/>
        <c:axId val="1922754254"/>
      </c:lineChart>
      <c:catAx>
        <c:axId val="6922536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Año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22754254"/>
      </c:catAx>
      <c:valAx>
        <c:axId val="1922754254"/>
        <c:scaling>
          <c:orientation val="minMax"/>
          <c:max val="40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225360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Impactos NAMA APL 2021 2030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'Hoja 3'!$R$31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'Hoja 3'!$Q$32:$Q$47</c:f>
            </c:strRef>
          </c:cat>
          <c:val>
            <c:numRef>
              <c:f>'Hoja 3'!$R$32:$R$47</c:f>
              <c:numCache/>
            </c:numRef>
          </c:val>
          <c:smooth val="0"/>
        </c:ser>
        <c:ser>
          <c:idx val="1"/>
          <c:order val="1"/>
          <c:tx>
            <c:strRef>
              <c:f>'Hoja 3'!$S$31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'Hoja 3'!$Q$32:$Q$47</c:f>
            </c:strRef>
          </c:cat>
          <c:val>
            <c:numRef>
              <c:f>'Hoja 3'!$S$32:$S$47</c:f>
              <c:numCache/>
            </c:numRef>
          </c:val>
          <c:smooth val="0"/>
        </c:ser>
        <c:ser>
          <c:idx val="2"/>
          <c:order val="2"/>
          <c:tx>
            <c:strRef>
              <c:f>'Hoja 3'!$T$31</c:f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'Hoja 3'!$Q$32:$Q$47</c:f>
            </c:strRef>
          </c:cat>
          <c:val>
            <c:numRef>
              <c:f>'Hoja 3'!$T$32:$T$47</c:f>
              <c:numCache/>
            </c:numRef>
          </c:val>
          <c:smooth val="0"/>
        </c:ser>
        <c:axId val="22498144"/>
        <c:axId val="2069528243"/>
      </c:lineChart>
      <c:catAx>
        <c:axId val="2249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Año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9528243"/>
      </c:catAx>
      <c:valAx>
        <c:axId val="2069528243"/>
        <c:scaling>
          <c:orientation val="minMax"/>
          <c:max val="25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249814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Impactos NAMA APL 2021 2030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'Hoja 3'!$G$31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'Hoja 3'!$D$32:$D$47</c:f>
            </c:strRef>
          </c:cat>
          <c:val>
            <c:numRef>
              <c:f>'Hoja 3'!$G$32:$G$47</c:f>
              <c:numCache/>
            </c:numRef>
          </c:val>
          <c:smooth val="0"/>
        </c:ser>
        <c:axId val="1415976564"/>
        <c:axId val="446836955"/>
      </c:lineChart>
      <c:catAx>
        <c:axId val="14159765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Año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46836955"/>
      </c:catAx>
      <c:valAx>
        <c:axId val="446836955"/>
        <c:scaling>
          <c:orientation val="minMax"/>
          <c:max val="25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597656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Impactos NAMA APL 2021 2030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'Hoja 3'!$Z$31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'Hoja 3'!$Y$32:$Y$47</c:f>
            </c:strRef>
          </c:cat>
          <c:val>
            <c:numRef>
              <c:f>'Hoja 3'!$Z$32:$Z$47</c:f>
              <c:numCache/>
            </c:numRef>
          </c:val>
          <c:smooth val="0"/>
        </c:ser>
        <c:ser>
          <c:idx val="1"/>
          <c:order val="1"/>
          <c:tx>
            <c:strRef>
              <c:f>'Hoja 3'!$AA$31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'Hoja 3'!$Y$32:$Y$47</c:f>
            </c:strRef>
          </c:cat>
          <c:val>
            <c:numRef>
              <c:f>'Hoja 3'!$AA$32:$AA$47</c:f>
              <c:numCache/>
            </c:numRef>
          </c:val>
          <c:smooth val="0"/>
        </c:ser>
        <c:ser>
          <c:idx val="2"/>
          <c:order val="2"/>
          <c:tx>
            <c:strRef>
              <c:f>'Hoja 3'!$AB$31</c:f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'Hoja 3'!$Y$32:$Y$47</c:f>
            </c:strRef>
          </c:cat>
          <c:val>
            <c:numRef>
              <c:f>'Hoja 3'!$AB$32:$AB$47</c:f>
              <c:numCache/>
            </c:numRef>
          </c:val>
          <c:smooth val="0"/>
        </c:ser>
        <c:ser>
          <c:idx val="3"/>
          <c:order val="3"/>
          <c:tx>
            <c:strRef>
              <c:f>'Hoja 3'!$AC$31</c:f>
            </c:strRef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'Hoja 3'!$Y$32:$Y$47</c:f>
            </c:strRef>
          </c:cat>
          <c:val>
            <c:numRef>
              <c:f>'Hoja 3'!$AC$32:$AC$47</c:f>
              <c:numCache/>
            </c:numRef>
          </c:val>
          <c:smooth val="0"/>
        </c:ser>
        <c:axId val="1680197668"/>
        <c:axId val="843947734"/>
      </c:lineChart>
      <c:catAx>
        <c:axId val="16801976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Año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43947734"/>
      </c:catAx>
      <c:valAx>
        <c:axId val="843947734"/>
        <c:scaling>
          <c:orientation val="minMax"/>
          <c:max val="45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019766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523875</xdr:colOff>
      <xdr:row>50</xdr:row>
      <xdr:rowOff>114300</xdr:rowOff>
    </xdr:from>
    <xdr:ext cx="5838825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514350</xdr:colOff>
      <xdr:row>50</xdr:row>
      <xdr:rowOff>47625</xdr:rowOff>
    </xdr:from>
    <xdr:ext cx="5838825" cy="353377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16</xdr:col>
      <xdr:colOff>104775</xdr:colOff>
      <xdr:row>50</xdr:row>
      <xdr:rowOff>171450</xdr:rowOff>
    </xdr:from>
    <xdr:ext cx="5838825" cy="3533775"/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2</xdr:col>
      <xdr:colOff>523875</xdr:colOff>
      <xdr:row>85</xdr:row>
      <xdr:rowOff>114300</xdr:rowOff>
    </xdr:from>
    <xdr:ext cx="5838825" cy="3533775"/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23</xdr:col>
      <xdr:colOff>266700</xdr:colOff>
      <xdr:row>50</xdr:row>
      <xdr:rowOff>123825</xdr:rowOff>
    </xdr:from>
    <xdr:ext cx="5838825" cy="3533775"/>
    <xdr:graphicFrame>
      <xdr:nvGraphicFramePr>
        <xdr:cNvPr id="5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8.57"/>
    <col customWidth="1" min="23" max="23" width="12.0"/>
    <col customWidth="1" min="24" max="24" width="24.14"/>
    <col customWidth="1" min="25" max="25" width="10.57"/>
    <col customWidth="1" min="26" max="26" width="17.86"/>
  </cols>
  <sheetData>
    <row r="1">
      <c r="A1" s="1" t="s">
        <v>0</v>
      </c>
      <c r="B1" s="2">
        <v>2010.0</v>
      </c>
      <c r="C1" s="2">
        <v>2011.0</v>
      </c>
      <c r="D1" s="2">
        <v>2012.0</v>
      </c>
      <c r="E1" s="2">
        <v>2013.0</v>
      </c>
      <c r="F1" s="2">
        <v>2014.0</v>
      </c>
      <c r="G1" s="2">
        <v>2015.0</v>
      </c>
      <c r="H1" s="2">
        <v>2016.0</v>
      </c>
      <c r="I1" s="2">
        <v>2017.0</v>
      </c>
      <c r="J1" s="2">
        <v>2018.0</v>
      </c>
      <c r="K1" s="2">
        <v>2019.0</v>
      </c>
      <c r="L1" s="1">
        <v>2020.0</v>
      </c>
      <c r="M1" s="2">
        <v>2021.0</v>
      </c>
      <c r="N1" s="2">
        <v>2022.0</v>
      </c>
      <c r="O1" s="2">
        <v>2023.0</v>
      </c>
      <c r="P1" s="2">
        <v>2024.0</v>
      </c>
      <c r="Q1" s="2">
        <v>2025.0</v>
      </c>
      <c r="R1" s="2">
        <v>2026.0</v>
      </c>
      <c r="S1" s="2">
        <v>2027.0</v>
      </c>
      <c r="T1" s="2">
        <v>2028.0</v>
      </c>
      <c r="U1" s="2">
        <v>2029.0</v>
      </c>
      <c r="V1" s="3">
        <v>2030.0</v>
      </c>
      <c r="W1" s="4" t="s">
        <v>1</v>
      </c>
      <c r="X1" s="5" t="s">
        <v>2</v>
      </c>
      <c r="Y1" s="6"/>
      <c r="Z1" s="7"/>
    </row>
    <row r="2" ht="14.25" customHeight="1">
      <c r="A2" s="8" t="s">
        <v>3</v>
      </c>
      <c r="B2" s="9">
        <v>398.0</v>
      </c>
      <c r="C2" s="9">
        <v>290.0</v>
      </c>
      <c r="D2" s="9">
        <v>552.0</v>
      </c>
      <c r="E2" s="9">
        <v>757.0</v>
      </c>
      <c r="F2" s="9">
        <v>498.0</v>
      </c>
      <c r="G2" s="9">
        <v>612.0</v>
      </c>
      <c r="H2" s="9">
        <v>621.0</v>
      </c>
      <c r="I2" s="9">
        <v>568.0</v>
      </c>
      <c r="J2" s="9">
        <v>414.0</v>
      </c>
      <c r="K2" s="9">
        <v>339.0</v>
      </c>
      <c r="L2" s="8">
        <v>159.0</v>
      </c>
      <c r="M2" s="9">
        <f t="shared" ref="M2:V2" si="1">$Y$2</f>
        <v>475</v>
      </c>
      <c r="N2" s="9">
        <f t="shared" si="1"/>
        <v>475</v>
      </c>
      <c r="O2" s="9">
        <f t="shared" si="1"/>
        <v>475</v>
      </c>
      <c r="P2" s="9">
        <f t="shared" si="1"/>
        <v>475</v>
      </c>
      <c r="Q2" s="9">
        <f t="shared" si="1"/>
        <v>475</v>
      </c>
      <c r="R2" s="9">
        <f t="shared" si="1"/>
        <v>475</v>
      </c>
      <c r="S2" s="9">
        <f t="shared" si="1"/>
        <v>475</v>
      </c>
      <c r="T2" s="9">
        <f t="shared" si="1"/>
        <v>475</v>
      </c>
      <c r="U2" s="9">
        <f t="shared" si="1"/>
        <v>475</v>
      </c>
      <c r="V2" s="9">
        <f t="shared" si="1"/>
        <v>475</v>
      </c>
      <c r="W2" s="10">
        <f t="shared" ref="W2:W3" si="3">sum(L2:V2)</f>
        <v>4909</v>
      </c>
      <c r="X2" s="11" t="s">
        <v>4</v>
      </c>
      <c r="Y2" s="12">
        <v>475.0</v>
      </c>
      <c r="Z2" s="13" t="s">
        <v>5</v>
      </c>
    </row>
    <row r="3" ht="39.0" customHeight="1">
      <c r="A3" s="8" t="s">
        <v>6</v>
      </c>
      <c r="B3" s="14">
        <v>419.0</v>
      </c>
      <c r="C3" s="14">
        <v>129.0</v>
      </c>
      <c r="D3" s="14">
        <v>145.0</v>
      </c>
      <c r="E3" s="14">
        <v>100.0</v>
      </c>
      <c r="F3" s="14">
        <v>395.0</v>
      </c>
      <c r="G3" s="14">
        <v>191.0</v>
      </c>
      <c r="H3" s="14">
        <v>270.0</v>
      </c>
      <c r="I3" s="14">
        <v>344.0</v>
      </c>
      <c r="J3" s="14">
        <v>43.0</v>
      </c>
      <c r="K3" s="14">
        <v>179.0</v>
      </c>
      <c r="L3" s="15">
        <v>168.0</v>
      </c>
      <c r="M3" s="16">
        <f t="shared" ref="M3:V3" si="2">if(or($Y$3&gt;=$Y$4,$Y$4&gt;$Y$5),,iferror(index($B2:$V2,,MATCH(M1-($Y$4-$Y$3),$B1:$V1)))*$Y$6*(1-$Y$7))</f>
        <v>156.6576</v>
      </c>
      <c r="N3" s="16">
        <f t="shared" si="2"/>
        <v>128.2776</v>
      </c>
      <c r="O3" s="16">
        <f t="shared" si="2"/>
        <v>60.1656</v>
      </c>
      <c r="P3" s="16">
        <f t="shared" si="2"/>
        <v>179.74</v>
      </c>
      <c r="Q3" s="16">
        <f t="shared" si="2"/>
        <v>179.74</v>
      </c>
      <c r="R3" s="16">
        <f t="shared" si="2"/>
        <v>179.74</v>
      </c>
      <c r="S3" s="16">
        <f t="shared" si="2"/>
        <v>179.74</v>
      </c>
      <c r="T3" s="16">
        <f t="shared" si="2"/>
        <v>179.74</v>
      </c>
      <c r="U3" s="16">
        <f t="shared" si="2"/>
        <v>179.74</v>
      </c>
      <c r="V3" s="17">
        <f t="shared" si="2"/>
        <v>179.74</v>
      </c>
      <c r="W3" s="18">
        <f t="shared" si="3"/>
        <v>1771.2808</v>
      </c>
      <c r="X3" s="11" t="s">
        <v>7</v>
      </c>
      <c r="Y3" s="12">
        <v>1.0</v>
      </c>
      <c r="Z3" s="13" t="s">
        <v>8</v>
      </c>
    </row>
    <row r="4">
      <c r="A4" s="19" t="s">
        <v>9</v>
      </c>
      <c r="B4" s="20">
        <f t="shared" ref="B4:D4" si="4">SUMIFS($B3:$V3,$B1:$V1,"&lt;="&amp;(B1),$B1:$V1,"&gt;"&amp;(B1-$Y5+$Y4),$B1:$V1,"&gt;"&amp;(B1-$Y5+$Y3))*$Y$8</f>
        <v>85476</v>
      </c>
      <c r="C4" s="20">
        <f t="shared" si="4"/>
        <v>111792</v>
      </c>
      <c r="D4" s="20">
        <f t="shared" si="4"/>
        <v>141372</v>
      </c>
      <c r="E4" s="20">
        <f t="shared" ref="E4:V4" si="5">SUMIFS($B3:$V3,$B1:$V1,"&lt;="&amp;(E1),$B1:$V1,"&gt;="&amp;(E1-$Y5+$Y4),$B1:$V1,"&gt;"&amp;(E1-$Y5+$Y3))*$Y$8</f>
        <v>161772</v>
      </c>
      <c r="F4" s="20">
        <f t="shared" si="5"/>
        <v>156876</v>
      </c>
      <c r="G4" s="20">
        <f t="shared" si="5"/>
        <v>169524</v>
      </c>
      <c r="H4" s="20">
        <f t="shared" si="5"/>
        <v>195024</v>
      </c>
      <c r="I4" s="20">
        <f t="shared" si="5"/>
        <v>244800</v>
      </c>
      <c r="J4" s="20">
        <f t="shared" si="5"/>
        <v>172992</v>
      </c>
      <c r="K4" s="21">
        <f t="shared" si="5"/>
        <v>170544</v>
      </c>
      <c r="L4" s="22">
        <f t="shared" si="5"/>
        <v>149736</v>
      </c>
      <c r="M4" s="20">
        <f t="shared" si="5"/>
        <v>111518.1504</v>
      </c>
      <c r="N4" s="20">
        <f t="shared" si="5"/>
        <v>128914.7808</v>
      </c>
      <c r="O4" s="20">
        <f t="shared" si="5"/>
        <v>104672.5632</v>
      </c>
      <c r="P4" s="20">
        <f t="shared" si="5"/>
        <v>107067.5232</v>
      </c>
      <c r="Q4" s="20">
        <f t="shared" si="5"/>
        <v>111776.3328</v>
      </c>
      <c r="R4" s="20">
        <f t="shared" si="5"/>
        <v>122274.6624</v>
      </c>
      <c r="S4" s="20">
        <f t="shared" si="5"/>
        <v>146667.84</v>
      </c>
      <c r="T4" s="20">
        <f t="shared" si="5"/>
        <v>146667.84</v>
      </c>
      <c r="U4" s="20">
        <f t="shared" si="5"/>
        <v>146667.84</v>
      </c>
      <c r="V4" s="23">
        <f t="shared" si="5"/>
        <v>146667.84</v>
      </c>
      <c r="W4" s="24" t="s">
        <v>10</v>
      </c>
      <c r="X4" s="11" t="s">
        <v>11</v>
      </c>
      <c r="Y4" s="12">
        <v>4.0</v>
      </c>
      <c r="Z4" s="13" t="s">
        <v>8</v>
      </c>
    </row>
    <row r="5">
      <c r="A5" s="25"/>
      <c r="B5" s="26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X5" s="11" t="s">
        <v>13</v>
      </c>
      <c r="Y5" s="12">
        <v>7.0</v>
      </c>
      <c r="Z5" s="13" t="s">
        <v>8</v>
      </c>
    </row>
    <row r="6">
      <c r="A6" s="27" t="s">
        <v>14</v>
      </c>
      <c r="B6" s="1">
        <v>2010.0</v>
      </c>
      <c r="C6" s="2">
        <v>2011.0</v>
      </c>
      <c r="D6" s="2">
        <v>2012.0</v>
      </c>
      <c r="E6" s="2">
        <v>2013.0</v>
      </c>
      <c r="F6" s="2">
        <v>2014.0</v>
      </c>
      <c r="G6" s="2">
        <v>2015.0</v>
      </c>
      <c r="H6" s="2">
        <v>2016.0</v>
      </c>
      <c r="I6" s="2">
        <v>2017.0</v>
      </c>
      <c r="J6" s="2">
        <v>2018.0</v>
      </c>
      <c r="K6" s="2">
        <v>2019.0</v>
      </c>
      <c r="L6" s="1">
        <v>2020.0</v>
      </c>
      <c r="M6" s="2">
        <v>2021.0</v>
      </c>
      <c r="N6" s="2">
        <v>2022.0</v>
      </c>
      <c r="O6" s="2">
        <v>2023.0</v>
      </c>
      <c r="P6" s="2">
        <v>2024.0</v>
      </c>
      <c r="Q6" s="2">
        <v>2025.0</v>
      </c>
      <c r="R6" s="2">
        <v>2026.0</v>
      </c>
      <c r="S6" s="2">
        <v>2027.0</v>
      </c>
      <c r="T6" s="2">
        <v>2028.0</v>
      </c>
      <c r="U6" s="2">
        <v>2029.0</v>
      </c>
      <c r="V6" s="3">
        <v>2030.0</v>
      </c>
      <c r="W6" s="28" t="s">
        <v>1</v>
      </c>
      <c r="X6" s="11" t="s">
        <v>15</v>
      </c>
      <c r="Y6" s="29">
        <v>0.44</v>
      </c>
      <c r="Z6" s="30"/>
    </row>
    <row r="7">
      <c r="A7" s="31">
        <v>2010.0</v>
      </c>
      <c r="B7" s="16">
        <f t="shared" ref="B7:V7" si="6">if(or($Y$3&gt;=$Y$4,$Y$4&gt;$Y$5,B$1&gt;$A7),,SUMIFS($B$2:$V$2,$B$1:$V$1,"&lt;="&amp;($A7-$Y$4+$Y$3),$B$1:$V$1,"&gt;="&amp;(B$1-$Y$5+$Y$3),$B$1:$V$1,"&lt;"&amp;(B$1)))*$Y$6*(1-$Y$7)*$Y$8</f>
        <v>0</v>
      </c>
      <c r="C7" s="16">
        <f t="shared" si="6"/>
        <v>0</v>
      </c>
      <c r="D7" s="16">
        <f t="shared" si="6"/>
        <v>0</v>
      </c>
      <c r="E7" s="16">
        <f t="shared" si="6"/>
        <v>0</v>
      </c>
      <c r="F7" s="16">
        <f t="shared" si="6"/>
        <v>0</v>
      </c>
      <c r="G7" s="16">
        <f t="shared" si="6"/>
        <v>0</v>
      </c>
      <c r="H7" s="16">
        <f t="shared" si="6"/>
        <v>0</v>
      </c>
      <c r="I7" s="16">
        <f t="shared" si="6"/>
        <v>0</v>
      </c>
      <c r="J7" s="16">
        <f t="shared" si="6"/>
        <v>0</v>
      </c>
      <c r="K7" s="16">
        <f t="shared" si="6"/>
        <v>0</v>
      </c>
      <c r="L7" s="32">
        <f t="shared" si="6"/>
        <v>0</v>
      </c>
      <c r="M7" s="16">
        <f t="shared" si="6"/>
        <v>0</v>
      </c>
      <c r="N7" s="16">
        <f t="shared" si="6"/>
        <v>0</v>
      </c>
      <c r="O7" s="16">
        <f t="shared" si="6"/>
        <v>0</v>
      </c>
      <c r="P7" s="16">
        <f t="shared" si="6"/>
        <v>0</v>
      </c>
      <c r="Q7" s="16">
        <f t="shared" si="6"/>
        <v>0</v>
      </c>
      <c r="R7" s="16">
        <f t="shared" si="6"/>
        <v>0</v>
      </c>
      <c r="S7" s="16">
        <f t="shared" si="6"/>
        <v>0</v>
      </c>
      <c r="T7" s="16">
        <f t="shared" si="6"/>
        <v>0</v>
      </c>
      <c r="U7" s="16">
        <f t="shared" si="6"/>
        <v>0</v>
      </c>
      <c r="V7" s="16">
        <f t="shared" si="6"/>
        <v>0</v>
      </c>
      <c r="W7" s="33">
        <f t="shared" ref="W7:W32" si="8">sum(L7:V7)</f>
        <v>0</v>
      </c>
      <c r="X7" s="11" t="s">
        <v>16</v>
      </c>
      <c r="Y7" s="29">
        <v>0.14</v>
      </c>
      <c r="Z7" s="30"/>
    </row>
    <row r="8">
      <c r="A8" s="31">
        <v>2011.0</v>
      </c>
      <c r="B8" s="16">
        <f t="shared" ref="B8:V8" si="7">if(or($Y$3&gt;=$Y$4,$Y$4&gt;$Y$5,B$1&gt;$A8),,SUMIFS($B$2:$V$2,$B$1:$V$1,"&lt;="&amp;($A8-$Y$4+$Y$3),$B$1:$V$1,"&gt;="&amp;(B$1-$Y$5+$Y$3),$B$1:$V$1,"&lt;"&amp;(B$1)))*$Y$6*(1-$Y$7)*$Y$8</f>
        <v>0</v>
      </c>
      <c r="C8" s="16">
        <f t="shared" si="7"/>
        <v>0</v>
      </c>
      <c r="D8" s="16">
        <f t="shared" si="7"/>
        <v>0</v>
      </c>
      <c r="E8" s="16">
        <f t="shared" si="7"/>
        <v>0</v>
      </c>
      <c r="F8" s="16">
        <f t="shared" si="7"/>
        <v>0</v>
      </c>
      <c r="G8" s="16">
        <f t="shared" si="7"/>
        <v>0</v>
      </c>
      <c r="H8" s="16">
        <f t="shared" si="7"/>
        <v>0</v>
      </c>
      <c r="I8" s="16">
        <f t="shared" si="7"/>
        <v>0</v>
      </c>
      <c r="J8" s="16">
        <f t="shared" si="7"/>
        <v>0</v>
      </c>
      <c r="K8" s="16">
        <f t="shared" si="7"/>
        <v>0</v>
      </c>
      <c r="L8" s="32">
        <f t="shared" si="7"/>
        <v>0</v>
      </c>
      <c r="M8" s="16">
        <f t="shared" si="7"/>
        <v>0</v>
      </c>
      <c r="N8" s="16">
        <f t="shared" si="7"/>
        <v>0</v>
      </c>
      <c r="O8" s="16">
        <f t="shared" si="7"/>
        <v>0</v>
      </c>
      <c r="P8" s="16">
        <f t="shared" si="7"/>
        <v>0</v>
      </c>
      <c r="Q8" s="16">
        <f t="shared" si="7"/>
        <v>0</v>
      </c>
      <c r="R8" s="16">
        <f t="shared" si="7"/>
        <v>0</v>
      </c>
      <c r="S8" s="16">
        <f t="shared" si="7"/>
        <v>0</v>
      </c>
      <c r="T8" s="16">
        <f t="shared" si="7"/>
        <v>0</v>
      </c>
      <c r="U8" s="16">
        <f t="shared" si="7"/>
        <v>0</v>
      </c>
      <c r="V8" s="16">
        <f t="shared" si="7"/>
        <v>0</v>
      </c>
      <c r="W8" s="33">
        <f t="shared" si="8"/>
        <v>0</v>
      </c>
      <c r="X8" s="19" t="s">
        <v>17</v>
      </c>
      <c r="Y8" s="34">
        <v>204.0</v>
      </c>
      <c r="Z8" s="35" t="s">
        <v>18</v>
      </c>
    </row>
    <row r="9">
      <c r="A9" s="31">
        <v>2012.0</v>
      </c>
      <c r="B9" s="16">
        <f t="shared" ref="B9:V9" si="9">if(or($Y$3&gt;=$Y$4,$Y$4&gt;$Y$5,B$1&gt;$A9),,SUMIFS($B$2:$V$2,$B$1:$V$1,"&lt;="&amp;($A9-$Y$4+$Y$3),$B$1:$V$1,"&gt;="&amp;(B$1-$Y$5+$Y$3),$B$1:$V$1,"&lt;"&amp;(B$1)))*$Y$6*(1-$Y$7)*$Y$8</f>
        <v>0</v>
      </c>
      <c r="C9" s="16">
        <f t="shared" si="9"/>
        <v>0</v>
      </c>
      <c r="D9" s="16">
        <f t="shared" si="9"/>
        <v>0</v>
      </c>
      <c r="E9" s="16">
        <f t="shared" si="9"/>
        <v>0</v>
      </c>
      <c r="F9" s="16">
        <f t="shared" si="9"/>
        <v>0</v>
      </c>
      <c r="G9" s="16">
        <f t="shared" si="9"/>
        <v>0</v>
      </c>
      <c r="H9" s="16">
        <f t="shared" si="9"/>
        <v>0</v>
      </c>
      <c r="I9" s="16">
        <f t="shared" si="9"/>
        <v>0</v>
      </c>
      <c r="J9" s="16">
        <f t="shared" si="9"/>
        <v>0</v>
      </c>
      <c r="K9" s="16">
        <f t="shared" si="9"/>
        <v>0</v>
      </c>
      <c r="L9" s="32">
        <f t="shared" si="9"/>
        <v>0</v>
      </c>
      <c r="M9" s="16">
        <f t="shared" si="9"/>
        <v>0</v>
      </c>
      <c r="N9" s="16">
        <f t="shared" si="9"/>
        <v>0</v>
      </c>
      <c r="O9" s="16">
        <f t="shared" si="9"/>
        <v>0</v>
      </c>
      <c r="P9" s="16">
        <f t="shared" si="9"/>
        <v>0</v>
      </c>
      <c r="Q9" s="16">
        <f t="shared" si="9"/>
        <v>0</v>
      </c>
      <c r="R9" s="16">
        <f t="shared" si="9"/>
        <v>0</v>
      </c>
      <c r="S9" s="16">
        <f t="shared" si="9"/>
        <v>0</v>
      </c>
      <c r="T9" s="16">
        <f t="shared" si="9"/>
        <v>0</v>
      </c>
      <c r="U9" s="16">
        <f t="shared" si="9"/>
        <v>0</v>
      </c>
      <c r="V9" s="16">
        <f t="shared" si="9"/>
        <v>0</v>
      </c>
      <c r="W9" s="33">
        <f t="shared" si="8"/>
        <v>0</v>
      </c>
      <c r="X9" s="24" t="s">
        <v>19</v>
      </c>
      <c r="Z9" s="36"/>
    </row>
    <row r="10">
      <c r="A10" s="31">
        <v>2013.0</v>
      </c>
      <c r="B10" s="16">
        <f t="shared" ref="B10:V10" si="10">if(or($Y$3&gt;=$Y$4,$Y$4&gt;$Y$5,B$1&gt;$A10),,SUMIFS($B$2:$V$2,$B$1:$V$1,"&lt;="&amp;($A10-$Y$4+$Y$3),$B$1:$V$1,"&gt;="&amp;(B$1-$Y$5+$Y$3),$B$1:$V$1,"&lt;"&amp;(B$1)))*$Y$6*(1-$Y$7)*$Y$8</f>
        <v>0</v>
      </c>
      <c r="C10" s="37">
        <f t="shared" si="10"/>
        <v>30723.0528</v>
      </c>
      <c r="D10" s="37">
        <f t="shared" si="10"/>
        <v>30723.0528</v>
      </c>
      <c r="E10" s="37">
        <f t="shared" si="10"/>
        <v>30723.0528</v>
      </c>
      <c r="F10" s="37">
        <f t="shared" si="10"/>
        <v>0</v>
      </c>
      <c r="G10" s="37">
        <f t="shared" si="10"/>
        <v>0</v>
      </c>
      <c r="H10" s="37">
        <f t="shared" si="10"/>
        <v>0</v>
      </c>
      <c r="I10" s="37">
        <f t="shared" si="10"/>
        <v>0</v>
      </c>
      <c r="J10" s="37">
        <f t="shared" si="10"/>
        <v>0</v>
      </c>
      <c r="K10" s="37">
        <f t="shared" si="10"/>
        <v>0</v>
      </c>
      <c r="L10" s="38">
        <f t="shared" si="10"/>
        <v>0</v>
      </c>
      <c r="M10" s="37">
        <f t="shared" si="10"/>
        <v>0</v>
      </c>
      <c r="N10" s="37">
        <f t="shared" si="10"/>
        <v>0</v>
      </c>
      <c r="O10" s="37">
        <f t="shared" si="10"/>
        <v>0</v>
      </c>
      <c r="P10" s="37">
        <f t="shared" si="10"/>
        <v>0</v>
      </c>
      <c r="Q10" s="37">
        <f t="shared" si="10"/>
        <v>0</v>
      </c>
      <c r="R10" s="37">
        <f t="shared" si="10"/>
        <v>0</v>
      </c>
      <c r="S10" s="37">
        <f t="shared" si="10"/>
        <v>0</v>
      </c>
      <c r="T10" s="37">
        <f t="shared" si="10"/>
        <v>0</v>
      </c>
      <c r="U10" s="37">
        <f t="shared" si="10"/>
        <v>0</v>
      </c>
      <c r="V10" s="37">
        <f t="shared" si="10"/>
        <v>0</v>
      </c>
      <c r="W10" s="39">
        <f t="shared" si="8"/>
        <v>0</v>
      </c>
      <c r="X10" s="24" t="s">
        <v>20</v>
      </c>
      <c r="Z10" s="36"/>
    </row>
    <row r="11">
      <c r="A11" s="31">
        <v>2014.0</v>
      </c>
      <c r="B11" s="16">
        <f t="shared" ref="B11:V11" si="11">if(or($Y$3&gt;=$Y$4,$Y$4&gt;$Y$5,B$1&gt;$A11),,SUMIFS($B$2:$V$2,$B$1:$V$1,"&lt;="&amp;($A11-$Y$4+$Y$3),$B$1:$V$1,"&gt;="&amp;(B$1-$Y$5+$Y$3),$B$1:$V$1,"&lt;"&amp;(B$1)))*$Y$6*(1-$Y$7)*$Y$8</f>
        <v>0</v>
      </c>
      <c r="C11" s="37">
        <f t="shared" si="11"/>
        <v>30723.0528</v>
      </c>
      <c r="D11" s="37">
        <f t="shared" si="11"/>
        <v>53109.1968</v>
      </c>
      <c r="E11" s="37">
        <f t="shared" si="11"/>
        <v>53109.1968</v>
      </c>
      <c r="F11" s="37">
        <f t="shared" si="11"/>
        <v>53109.1968</v>
      </c>
      <c r="G11" s="37">
        <f t="shared" si="11"/>
        <v>0</v>
      </c>
      <c r="H11" s="37">
        <f t="shared" si="11"/>
        <v>0</v>
      </c>
      <c r="I11" s="37">
        <f t="shared" si="11"/>
        <v>0</v>
      </c>
      <c r="J11" s="37">
        <f t="shared" si="11"/>
        <v>0</v>
      </c>
      <c r="K11" s="37">
        <f t="shared" si="11"/>
        <v>0</v>
      </c>
      <c r="L11" s="38">
        <f t="shared" si="11"/>
        <v>0</v>
      </c>
      <c r="M11" s="37">
        <f t="shared" si="11"/>
        <v>0</v>
      </c>
      <c r="N11" s="37">
        <f t="shared" si="11"/>
        <v>0</v>
      </c>
      <c r="O11" s="37">
        <f t="shared" si="11"/>
        <v>0</v>
      </c>
      <c r="P11" s="37">
        <f t="shared" si="11"/>
        <v>0</v>
      </c>
      <c r="Q11" s="37">
        <f t="shared" si="11"/>
        <v>0</v>
      </c>
      <c r="R11" s="37">
        <f t="shared" si="11"/>
        <v>0</v>
      </c>
      <c r="S11" s="37">
        <f t="shared" si="11"/>
        <v>0</v>
      </c>
      <c r="T11" s="37">
        <f t="shared" si="11"/>
        <v>0</v>
      </c>
      <c r="U11" s="37">
        <f t="shared" si="11"/>
        <v>0</v>
      </c>
      <c r="V11" s="37">
        <f t="shared" si="11"/>
        <v>0</v>
      </c>
      <c r="W11" s="39">
        <f t="shared" si="8"/>
        <v>0</v>
      </c>
      <c r="X11" s="24" t="s">
        <v>21</v>
      </c>
    </row>
    <row r="12">
      <c r="A12" s="31">
        <v>2015.0</v>
      </c>
      <c r="B12" s="16">
        <f t="shared" ref="B12:V12" si="12">if(or($Y$3&gt;=$Y$4,$Y$4&gt;$Y$5,B$1&gt;$A12),,SUMIFS($B$2:$V$2,$B$1:$V$1,"&lt;="&amp;($A12-$Y$4+$Y$3),$B$1:$V$1,"&gt;="&amp;(B$1-$Y$5+$Y$3),$B$1:$V$1,"&lt;"&amp;(B$1)))*$Y$6*(1-$Y$7)*$Y$8</f>
        <v>0</v>
      </c>
      <c r="C12" s="37">
        <f t="shared" si="12"/>
        <v>30723.0528</v>
      </c>
      <c r="D12" s="37">
        <f t="shared" si="12"/>
        <v>53109.1968</v>
      </c>
      <c r="E12" s="37">
        <f t="shared" si="12"/>
        <v>95720.064</v>
      </c>
      <c r="F12" s="37">
        <f t="shared" si="12"/>
        <v>95720.064</v>
      </c>
      <c r="G12" s="37">
        <f t="shared" si="12"/>
        <v>95720.064</v>
      </c>
      <c r="H12" s="37">
        <f t="shared" si="12"/>
        <v>0</v>
      </c>
      <c r="I12" s="37">
        <f t="shared" si="12"/>
        <v>0</v>
      </c>
      <c r="J12" s="37">
        <f t="shared" si="12"/>
        <v>0</v>
      </c>
      <c r="K12" s="37">
        <f t="shared" si="12"/>
        <v>0</v>
      </c>
      <c r="L12" s="38">
        <f t="shared" si="12"/>
        <v>0</v>
      </c>
      <c r="M12" s="37">
        <f t="shared" si="12"/>
        <v>0</v>
      </c>
      <c r="N12" s="37">
        <f t="shared" si="12"/>
        <v>0</v>
      </c>
      <c r="O12" s="37">
        <f t="shared" si="12"/>
        <v>0</v>
      </c>
      <c r="P12" s="37">
        <f t="shared" si="12"/>
        <v>0</v>
      </c>
      <c r="Q12" s="37">
        <f t="shared" si="12"/>
        <v>0</v>
      </c>
      <c r="R12" s="37">
        <f t="shared" si="12"/>
        <v>0</v>
      </c>
      <c r="S12" s="37">
        <f t="shared" si="12"/>
        <v>0</v>
      </c>
      <c r="T12" s="37">
        <f t="shared" si="12"/>
        <v>0</v>
      </c>
      <c r="U12" s="37">
        <f t="shared" si="12"/>
        <v>0</v>
      </c>
      <c r="V12" s="37">
        <f t="shared" si="12"/>
        <v>0</v>
      </c>
      <c r="W12" s="39">
        <f t="shared" si="8"/>
        <v>0</v>
      </c>
      <c r="X12" s="24" t="s">
        <v>22</v>
      </c>
    </row>
    <row r="13">
      <c r="A13" s="31">
        <v>2016.0</v>
      </c>
      <c r="B13" s="16">
        <f t="shared" ref="B13:V13" si="13">if(or($Y$3&gt;=$Y$4,$Y$4&gt;$Y$5,B$1&gt;$A13),,SUMIFS($B$2:$V$2,$B$1:$V$1,"&lt;="&amp;($A13-$Y$4+$Y$3),$B$1:$V$1,"&gt;="&amp;(B$1-$Y$5+$Y$3),$B$1:$V$1,"&lt;"&amp;(B$1)))*$Y$6*(1-$Y$7)*$Y$8</f>
        <v>0</v>
      </c>
      <c r="C13" s="37">
        <f t="shared" si="13"/>
        <v>30723.0528</v>
      </c>
      <c r="D13" s="37">
        <f t="shared" si="13"/>
        <v>53109.1968</v>
      </c>
      <c r="E13" s="37">
        <f t="shared" si="13"/>
        <v>95720.064</v>
      </c>
      <c r="F13" s="37">
        <f t="shared" si="13"/>
        <v>154155.6192</v>
      </c>
      <c r="G13" s="37">
        <f t="shared" si="13"/>
        <v>154155.6192</v>
      </c>
      <c r="H13" s="37">
        <f t="shared" si="13"/>
        <v>154155.6192</v>
      </c>
      <c r="I13" s="37">
        <f t="shared" si="13"/>
        <v>0</v>
      </c>
      <c r="J13" s="37">
        <f t="shared" si="13"/>
        <v>0</v>
      </c>
      <c r="K13" s="37">
        <f t="shared" si="13"/>
        <v>0</v>
      </c>
      <c r="L13" s="38">
        <f t="shared" si="13"/>
        <v>0</v>
      </c>
      <c r="M13" s="37">
        <f t="shared" si="13"/>
        <v>0</v>
      </c>
      <c r="N13" s="37">
        <f t="shared" si="13"/>
        <v>0</v>
      </c>
      <c r="O13" s="37">
        <f t="shared" si="13"/>
        <v>0</v>
      </c>
      <c r="P13" s="37">
        <f t="shared" si="13"/>
        <v>0</v>
      </c>
      <c r="Q13" s="37">
        <f t="shared" si="13"/>
        <v>0</v>
      </c>
      <c r="R13" s="37">
        <f t="shared" si="13"/>
        <v>0</v>
      </c>
      <c r="S13" s="37">
        <f t="shared" si="13"/>
        <v>0</v>
      </c>
      <c r="T13" s="37">
        <f t="shared" si="13"/>
        <v>0</v>
      </c>
      <c r="U13" s="37">
        <f t="shared" si="13"/>
        <v>0</v>
      </c>
      <c r="V13" s="37">
        <f t="shared" si="13"/>
        <v>0</v>
      </c>
      <c r="W13" s="39">
        <f t="shared" si="8"/>
        <v>0</v>
      </c>
      <c r="Y13" s="24">
        <f>2.4/1.7</f>
        <v>1.411764706</v>
      </c>
    </row>
    <row r="14">
      <c r="A14" s="31">
        <v>2017.0</v>
      </c>
      <c r="B14" s="16">
        <f t="shared" ref="B14:V14" si="14">if(or($Y$3&gt;=$Y$4,$Y$4&gt;$Y$5,B$1&gt;$A14),,SUMIFS($B$2:$V$2,$B$1:$V$1,"&lt;="&amp;($A14-$Y$4+$Y$3),$B$1:$V$1,"&gt;="&amp;(B$1-$Y$5+$Y$3),$B$1:$V$1,"&lt;"&amp;(B$1)))*$Y$6*(1-$Y$7)*$Y$8</f>
        <v>0</v>
      </c>
      <c r="C14" s="37">
        <f t="shared" si="14"/>
        <v>30723.0528</v>
      </c>
      <c r="D14" s="37">
        <f t="shared" si="14"/>
        <v>53109.1968</v>
      </c>
      <c r="E14" s="37">
        <f t="shared" si="14"/>
        <v>95720.064</v>
      </c>
      <c r="F14" s="37">
        <f t="shared" si="14"/>
        <v>154155.6192</v>
      </c>
      <c r="G14" s="37">
        <f t="shared" si="14"/>
        <v>192598.032</v>
      </c>
      <c r="H14" s="37">
        <f t="shared" si="14"/>
        <v>192598.032</v>
      </c>
      <c r="I14" s="37">
        <f t="shared" si="14"/>
        <v>161874.9792</v>
      </c>
      <c r="J14" s="37">
        <f t="shared" si="14"/>
        <v>0</v>
      </c>
      <c r="K14" s="37">
        <f t="shared" si="14"/>
        <v>0</v>
      </c>
      <c r="L14" s="38">
        <f t="shared" si="14"/>
        <v>0</v>
      </c>
      <c r="M14" s="37">
        <f t="shared" si="14"/>
        <v>0</v>
      </c>
      <c r="N14" s="37">
        <f t="shared" si="14"/>
        <v>0</v>
      </c>
      <c r="O14" s="37">
        <f t="shared" si="14"/>
        <v>0</v>
      </c>
      <c r="P14" s="37">
        <f t="shared" si="14"/>
        <v>0</v>
      </c>
      <c r="Q14" s="37">
        <f t="shared" si="14"/>
        <v>0</v>
      </c>
      <c r="R14" s="37">
        <f t="shared" si="14"/>
        <v>0</v>
      </c>
      <c r="S14" s="37">
        <f t="shared" si="14"/>
        <v>0</v>
      </c>
      <c r="T14" s="37">
        <f t="shared" si="14"/>
        <v>0</v>
      </c>
      <c r="U14" s="37">
        <f t="shared" si="14"/>
        <v>0</v>
      </c>
      <c r="V14" s="37">
        <f t="shared" si="14"/>
        <v>0</v>
      </c>
      <c r="W14" s="39">
        <f t="shared" si="8"/>
        <v>0</v>
      </c>
    </row>
    <row r="15">
      <c r="A15" s="31">
        <v>2018.0</v>
      </c>
      <c r="B15" s="16">
        <f t="shared" ref="B15:V15" si="15">if(or($Y$3&gt;=$Y$4,$Y$4&gt;$Y$5,B$1&gt;$A15),,SUMIFS($B$2:$V$2,$B$1:$V$1,"&lt;="&amp;($A15-$Y$4+$Y$3),$B$1:$V$1,"&gt;="&amp;(B$1-$Y$5+$Y$3),$B$1:$V$1,"&lt;"&amp;(B$1)))*$Y$6*(1-$Y$7)*$Y$8</f>
        <v>0</v>
      </c>
      <c r="C15" s="37">
        <f t="shared" si="15"/>
        <v>30723.0528</v>
      </c>
      <c r="D15" s="37">
        <f t="shared" si="15"/>
        <v>53109.1968</v>
      </c>
      <c r="E15" s="37">
        <f t="shared" si="15"/>
        <v>95720.064</v>
      </c>
      <c r="F15" s="37">
        <f t="shared" si="15"/>
        <v>154155.6192</v>
      </c>
      <c r="G15" s="37">
        <f t="shared" si="15"/>
        <v>192598.032</v>
      </c>
      <c r="H15" s="37">
        <f t="shared" si="15"/>
        <v>239840.5152</v>
      </c>
      <c r="I15" s="37">
        <f t="shared" si="15"/>
        <v>209117.4624</v>
      </c>
      <c r="J15" s="37">
        <f t="shared" si="15"/>
        <v>186731.3184</v>
      </c>
      <c r="K15" s="37">
        <f t="shared" si="15"/>
        <v>0</v>
      </c>
      <c r="L15" s="38">
        <f t="shared" si="15"/>
        <v>0</v>
      </c>
      <c r="M15" s="37">
        <f t="shared" si="15"/>
        <v>0</v>
      </c>
      <c r="N15" s="37">
        <f t="shared" si="15"/>
        <v>0</v>
      </c>
      <c r="O15" s="37">
        <f t="shared" si="15"/>
        <v>0</v>
      </c>
      <c r="P15" s="37">
        <f t="shared" si="15"/>
        <v>0</v>
      </c>
      <c r="Q15" s="37">
        <f t="shared" si="15"/>
        <v>0</v>
      </c>
      <c r="R15" s="37">
        <f t="shared" si="15"/>
        <v>0</v>
      </c>
      <c r="S15" s="37">
        <f t="shared" si="15"/>
        <v>0</v>
      </c>
      <c r="T15" s="37">
        <f t="shared" si="15"/>
        <v>0</v>
      </c>
      <c r="U15" s="37">
        <f t="shared" si="15"/>
        <v>0</v>
      </c>
      <c r="V15" s="37">
        <f t="shared" si="15"/>
        <v>0</v>
      </c>
      <c r="W15" s="39">
        <f t="shared" si="8"/>
        <v>0</v>
      </c>
      <c r="X15" s="24" t="s">
        <v>23</v>
      </c>
      <c r="Y15" s="40">
        <f>502*0.9</f>
        <v>451.8</v>
      </c>
      <c r="Z15" s="41">
        <v>8731641.240000002</v>
      </c>
    </row>
    <row r="16">
      <c r="A16" s="31">
        <v>2019.0</v>
      </c>
      <c r="B16" s="16">
        <f t="shared" ref="B16:V16" si="16">if(or($Y$3&gt;=$Y$4,$Y$4&gt;$Y$5,B$1&gt;$A16),,SUMIFS($B$2:$V$2,$B$1:$V$1,"&lt;="&amp;($A16-$Y$4+$Y$3),$B$1:$V$1,"&gt;="&amp;(B$1-$Y$5+$Y$3),$B$1:$V$1,"&lt;"&amp;(B$1)))*$Y$6*(1-$Y$7)*$Y$8</f>
        <v>0</v>
      </c>
      <c r="C16" s="37">
        <f t="shared" si="16"/>
        <v>30723.0528</v>
      </c>
      <c r="D16" s="37">
        <f t="shared" si="16"/>
        <v>53109.1968</v>
      </c>
      <c r="E16" s="37">
        <f t="shared" si="16"/>
        <v>95720.064</v>
      </c>
      <c r="F16" s="37">
        <f t="shared" si="16"/>
        <v>154155.6192</v>
      </c>
      <c r="G16" s="37">
        <f t="shared" si="16"/>
        <v>192598.032</v>
      </c>
      <c r="H16" s="37">
        <f t="shared" si="16"/>
        <v>239840.5152</v>
      </c>
      <c r="I16" s="37">
        <f t="shared" si="16"/>
        <v>257054.688</v>
      </c>
      <c r="J16" s="37">
        <f t="shared" si="16"/>
        <v>234668.544</v>
      </c>
      <c r="K16" s="42">
        <f t="shared" si="16"/>
        <v>192057.6768</v>
      </c>
      <c r="L16" s="38">
        <f t="shared" si="16"/>
        <v>0</v>
      </c>
      <c r="M16" s="37">
        <f t="shared" si="16"/>
        <v>0</v>
      </c>
      <c r="N16" s="37">
        <f t="shared" si="16"/>
        <v>0</v>
      </c>
      <c r="O16" s="37">
        <f t="shared" si="16"/>
        <v>0</v>
      </c>
      <c r="P16" s="37">
        <f t="shared" si="16"/>
        <v>0</v>
      </c>
      <c r="Q16" s="37">
        <f t="shared" si="16"/>
        <v>0</v>
      </c>
      <c r="R16" s="37">
        <f t="shared" si="16"/>
        <v>0</v>
      </c>
      <c r="S16" s="37">
        <f t="shared" si="16"/>
        <v>0</v>
      </c>
      <c r="T16" s="37">
        <f t="shared" si="16"/>
        <v>0</v>
      </c>
      <c r="U16" s="37">
        <f t="shared" si="16"/>
        <v>0</v>
      </c>
      <c r="V16" s="37">
        <f t="shared" si="16"/>
        <v>0</v>
      </c>
      <c r="W16" s="39">
        <f t="shared" si="8"/>
        <v>0</v>
      </c>
      <c r="Y16" s="40">
        <f>502</f>
        <v>502</v>
      </c>
      <c r="Z16" s="41">
        <v>9324493.200000001</v>
      </c>
    </row>
    <row r="17">
      <c r="A17" s="43">
        <v>2020.0</v>
      </c>
      <c r="B17" s="44">
        <f t="shared" ref="B17:V17" si="17">if(or($Y$3&gt;=$Y$4,$Y$4&gt;$Y$5,B$1&gt;$A17),,SUMIFS($B$2:$V$2,$B$1:$V$1,"&lt;="&amp;($A17-$Y$4+$Y$3),$B$1:$V$1,"&gt;="&amp;(B$1-$Y$5+$Y$3),$B$1:$V$1,"&lt;"&amp;(B$1)))*$Y$6*(1-$Y$7)*$Y$8</f>
        <v>0</v>
      </c>
      <c r="C17" s="45">
        <f t="shared" si="17"/>
        <v>30723.0528</v>
      </c>
      <c r="D17" s="45">
        <f t="shared" si="17"/>
        <v>53109.1968</v>
      </c>
      <c r="E17" s="45">
        <f t="shared" si="17"/>
        <v>95720.064</v>
      </c>
      <c r="F17" s="45">
        <f t="shared" si="17"/>
        <v>154155.6192</v>
      </c>
      <c r="G17" s="45">
        <f t="shared" si="17"/>
        <v>192598.032</v>
      </c>
      <c r="H17" s="45">
        <f t="shared" si="17"/>
        <v>239840.5152</v>
      </c>
      <c r="I17" s="45">
        <f t="shared" si="17"/>
        <v>257054.688</v>
      </c>
      <c r="J17" s="45">
        <f t="shared" si="17"/>
        <v>278514.5088</v>
      </c>
      <c r="K17" s="45">
        <f t="shared" si="17"/>
        <v>235903.6416</v>
      </c>
      <c r="L17" s="46">
        <f t="shared" si="17"/>
        <v>177468.0864</v>
      </c>
      <c r="M17" s="45">
        <f t="shared" si="17"/>
        <v>0</v>
      </c>
      <c r="N17" s="45">
        <f t="shared" si="17"/>
        <v>0</v>
      </c>
      <c r="O17" s="45">
        <f t="shared" si="17"/>
        <v>0</v>
      </c>
      <c r="P17" s="45">
        <f t="shared" si="17"/>
        <v>0</v>
      </c>
      <c r="Q17" s="45">
        <f t="shared" si="17"/>
        <v>0</v>
      </c>
      <c r="R17" s="45">
        <f t="shared" si="17"/>
        <v>0</v>
      </c>
      <c r="S17" s="45">
        <f t="shared" si="17"/>
        <v>0</v>
      </c>
      <c r="T17" s="45">
        <f t="shared" si="17"/>
        <v>0</v>
      </c>
      <c r="U17" s="45">
        <f t="shared" si="17"/>
        <v>0</v>
      </c>
      <c r="V17" s="45">
        <f t="shared" si="17"/>
        <v>0</v>
      </c>
      <c r="W17" s="47">
        <f t="shared" si="8"/>
        <v>177468.0864</v>
      </c>
      <c r="Y17" s="40">
        <f>502*1.1</f>
        <v>552.2</v>
      </c>
      <c r="Z17" s="37">
        <v>9917345.16</v>
      </c>
    </row>
    <row r="18">
      <c r="A18" s="31">
        <v>2021.0</v>
      </c>
      <c r="B18" s="16">
        <f t="shared" ref="B18:V18" si="18">if(or($Y$3&gt;=$Y$4,$Y$4&gt;$Y$5,B$1&gt;$A18),,SUMIFS($B$2:$V$2,$B$1:$V$1,"&lt;="&amp;($A18-$Y$4+$Y$3),$B$1:$V$1,"&gt;="&amp;(B$1-$Y$5+$Y$3),$B$1:$V$1,"&lt;"&amp;(B$1)))*$Y$6*(1-$Y$7)*$Y$8</f>
        <v>0</v>
      </c>
      <c r="C18" s="37">
        <f t="shared" si="18"/>
        <v>30723.0528</v>
      </c>
      <c r="D18" s="37">
        <f t="shared" si="18"/>
        <v>53109.1968</v>
      </c>
      <c r="E18" s="37">
        <f t="shared" si="18"/>
        <v>95720.064</v>
      </c>
      <c r="F18" s="37">
        <f t="shared" si="18"/>
        <v>154155.6192</v>
      </c>
      <c r="G18" s="37">
        <f t="shared" si="18"/>
        <v>192598.032</v>
      </c>
      <c r="H18" s="37">
        <f t="shared" si="18"/>
        <v>239840.5152</v>
      </c>
      <c r="I18" s="37">
        <f t="shared" si="18"/>
        <v>257054.688</v>
      </c>
      <c r="J18" s="37">
        <f t="shared" si="18"/>
        <v>278514.5088</v>
      </c>
      <c r="K18" s="37">
        <f t="shared" si="18"/>
        <v>267861.792</v>
      </c>
      <c r="L18" s="38">
        <f t="shared" si="18"/>
        <v>209426.2368</v>
      </c>
      <c r="M18" s="37">
        <f t="shared" si="18"/>
        <v>170983.824</v>
      </c>
      <c r="N18" s="37">
        <f t="shared" si="18"/>
        <v>0</v>
      </c>
      <c r="O18" s="37">
        <f t="shared" si="18"/>
        <v>0</v>
      </c>
      <c r="P18" s="37">
        <f t="shared" si="18"/>
        <v>0</v>
      </c>
      <c r="Q18" s="37">
        <f t="shared" si="18"/>
        <v>0</v>
      </c>
      <c r="R18" s="37">
        <f t="shared" si="18"/>
        <v>0</v>
      </c>
      <c r="S18" s="37">
        <f t="shared" si="18"/>
        <v>0</v>
      </c>
      <c r="T18" s="37">
        <f t="shared" si="18"/>
        <v>0</v>
      </c>
      <c r="U18" s="37">
        <f t="shared" si="18"/>
        <v>0</v>
      </c>
      <c r="V18" s="37">
        <f t="shared" si="18"/>
        <v>0</v>
      </c>
      <c r="W18" s="39">
        <f t="shared" si="8"/>
        <v>380410.0608</v>
      </c>
      <c r="X18" s="36"/>
      <c r="Y18" s="37"/>
      <c r="Z18" s="36"/>
    </row>
    <row r="19">
      <c r="A19" s="31">
        <v>2022.0</v>
      </c>
      <c r="B19" s="16">
        <f t="shared" ref="B19:V19" si="19">if(or($Y$3&gt;=$Y$4,$Y$4&gt;$Y$5,B$1&gt;$A19),,SUMIFS($B$2:$V$2,$B$1:$V$1,"&lt;="&amp;($A19-$Y$4+$Y$3),$B$1:$V$1,"&gt;="&amp;(B$1-$Y$5+$Y$3),$B$1:$V$1,"&lt;"&amp;(B$1)))*$Y$6*(1-$Y$7)*$Y$8</f>
        <v>0</v>
      </c>
      <c r="C19" s="37">
        <f t="shared" si="19"/>
        <v>30723.0528</v>
      </c>
      <c r="D19" s="37">
        <f t="shared" si="19"/>
        <v>53109.1968</v>
      </c>
      <c r="E19" s="37">
        <f t="shared" si="19"/>
        <v>95720.064</v>
      </c>
      <c r="F19" s="37">
        <f t="shared" si="19"/>
        <v>154155.6192</v>
      </c>
      <c r="G19" s="37">
        <f t="shared" si="19"/>
        <v>192598.032</v>
      </c>
      <c r="H19" s="37">
        <f t="shared" si="19"/>
        <v>239840.5152</v>
      </c>
      <c r="I19" s="37">
        <f t="shared" si="19"/>
        <v>257054.688</v>
      </c>
      <c r="J19" s="37">
        <f t="shared" si="19"/>
        <v>278514.5088</v>
      </c>
      <c r="K19" s="37">
        <f t="shared" si="19"/>
        <v>267861.792</v>
      </c>
      <c r="L19" s="38">
        <f t="shared" si="19"/>
        <v>235594.8672</v>
      </c>
      <c r="M19" s="37">
        <f t="shared" si="19"/>
        <v>197152.4544</v>
      </c>
      <c r="N19" s="37">
        <f t="shared" si="19"/>
        <v>149909.9712</v>
      </c>
      <c r="O19" s="37">
        <f t="shared" si="19"/>
        <v>0</v>
      </c>
      <c r="P19" s="37">
        <f t="shared" si="19"/>
        <v>0</v>
      </c>
      <c r="Q19" s="37">
        <f t="shared" si="19"/>
        <v>0</v>
      </c>
      <c r="R19" s="37">
        <f t="shared" si="19"/>
        <v>0</v>
      </c>
      <c r="S19" s="37">
        <f t="shared" si="19"/>
        <v>0</v>
      </c>
      <c r="T19" s="37">
        <f t="shared" si="19"/>
        <v>0</v>
      </c>
      <c r="U19" s="37">
        <f t="shared" si="19"/>
        <v>0</v>
      </c>
      <c r="V19" s="37">
        <f t="shared" si="19"/>
        <v>0</v>
      </c>
      <c r="W19" s="39">
        <f t="shared" si="8"/>
        <v>582657.2928</v>
      </c>
      <c r="X19" s="24" t="s">
        <v>24</v>
      </c>
      <c r="Y19" s="48">
        <v>0.0</v>
      </c>
      <c r="Z19" s="37">
        <v>1.059699915E7</v>
      </c>
    </row>
    <row r="20">
      <c r="A20" s="31">
        <v>2023.0</v>
      </c>
      <c r="B20" s="16">
        <f t="shared" ref="B20:V20" si="20">if(or($Y$3&gt;=$Y$4,$Y$4&gt;$Y$5,B$1&gt;$A20),,SUMIFS($B$2:$V$2,$B$1:$V$1,"&lt;="&amp;($A20-$Y$4+$Y$3),$B$1:$V$1,"&gt;="&amp;(B$1-$Y$5+$Y$3),$B$1:$V$1,"&lt;"&amp;(B$1)))*$Y$6*(1-$Y$7)*$Y$8</f>
        <v>0</v>
      </c>
      <c r="C20" s="37">
        <f t="shared" si="20"/>
        <v>30723.0528</v>
      </c>
      <c r="D20" s="37">
        <f t="shared" si="20"/>
        <v>53109.1968</v>
      </c>
      <c r="E20" s="37">
        <f t="shared" si="20"/>
        <v>95720.064</v>
      </c>
      <c r="F20" s="37">
        <f t="shared" si="20"/>
        <v>154155.6192</v>
      </c>
      <c r="G20" s="37">
        <f t="shared" si="20"/>
        <v>192598.032</v>
      </c>
      <c r="H20" s="37">
        <f t="shared" si="20"/>
        <v>239840.5152</v>
      </c>
      <c r="I20" s="37">
        <f t="shared" si="20"/>
        <v>257054.688</v>
      </c>
      <c r="J20" s="37">
        <f t="shared" si="20"/>
        <v>278514.5088</v>
      </c>
      <c r="K20" s="37">
        <f t="shared" si="20"/>
        <v>267861.792</v>
      </c>
      <c r="L20" s="38">
        <f t="shared" si="20"/>
        <v>235594.8672</v>
      </c>
      <c r="M20" s="37">
        <f t="shared" si="20"/>
        <v>209426.2368</v>
      </c>
      <c r="N20" s="37">
        <f t="shared" si="20"/>
        <v>162183.7536</v>
      </c>
      <c r="O20" s="37">
        <f t="shared" si="20"/>
        <v>114246.528</v>
      </c>
      <c r="P20" s="37">
        <f t="shared" si="20"/>
        <v>0</v>
      </c>
      <c r="Q20" s="37">
        <f t="shared" si="20"/>
        <v>0</v>
      </c>
      <c r="R20" s="37">
        <f t="shared" si="20"/>
        <v>0</v>
      </c>
      <c r="S20" s="37">
        <f t="shared" si="20"/>
        <v>0</v>
      </c>
      <c r="T20" s="37">
        <f t="shared" si="20"/>
        <v>0</v>
      </c>
      <c r="U20" s="37">
        <f t="shared" si="20"/>
        <v>0</v>
      </c>
      <c r="V20" s="37">
        <f t="shared" si="20"/>
        <v>0</v>
      </c>
      <c r="W20" s="39">
        <f t="shared" si="8"/>
        <v>721451.3856</v>
      </c>
      <c r="Y20" s="48">
        <v>1.0</v>
      </c>
      <c r="Z20" s="37">
        <v>9324493.200000001</v>
      </c>
    </row>
    <row r="21">
      <c r="A21" s="31">
        <v>2024.0</v>
      </c>
      <c r="B21" s="16">
        <f t="shared" ref="B21:V21" si="21">if(or($Y$3&gt;=$Y$4,$Y$4&gt;$Y$5,B$1&gt;$A21),,SUMIFS($B$2:$V$2,$B$1:$V$1,"&lt;="&amp;($A21-$Y$4+$Y$3),$B$1:$V$1,"&gt;="&amp;(B$1-$Y$5+$Y$3),$B$1:$V$1,"&lt;"&amp;(B$1)))*$Y$6*(1-$Y$7)*$Y$8</f>
        <v>0</v>
      </c>
      <c r="C21" s="37">
        <f t="shared" si="21"/>
        <v>30723.0528</v>
      </c>
      <c r="D21" s="37">
        <f t="shared" si="21"/>
        <v>53109.1968</v>
      </c>
      <c r="E21" s="37">
        <f t="shared" si="21"/>
        <v>95720.064</v>
      </c>
      <c r="F21" s="37">
        <f t="shared" si="21"/>
        <v>154155.6192</v>
      </c>
      <c r="G21" s="37">
        <f t="shared" si="21"/>
        <v>192598.032</v>
      </c>
      <c r="H21" s="37">
        <f t="shared" si="21"/>
        <v>239840.5152</v>
      </c>
      <c r="I21" s="37">
        <f t="shared" si="21"/>
        <v>257054.688</v>
      </c>
      <c r="J21" s="37">
        <f t="shared" si="21"/>
        <v>278514.5088</v>
      </c>
      <c r="K21" s="37">
        <f t="shared" si="21"/>
        <v>267861.792</v>
      </c>
      <c r="L21" s="38">
        <f t="shared" si="21"/>
        <v>235594.8672</v>
      </c>
      <c r="M21" s="37">
        <f t="shared" si="21"/>
        <v>209426.2368</v>
      </c>
      <c r="N21" s="37">
        <f t="shared" si="21"/>
        <v>198850.7136</v>
      </c>
      <c r="O21" s="37">
        <f t="shared" si="21"/>
        <v>150913.488</v>
      </c>
      <c r="P21" s="37">
        <f t="shared" si="21"/>
        <v>107067.5232</v>
      </c>
      <c r="Q21" s="37">
        <f t="shared" si="21"/>
        <v>0</v>
      </c>
      <c r="R21" s="37">
        <f t="shared" si="21"/>
        <v>0</v>
      </c>
      <c r="S21" s="37">
        <f t="shared" si="21"/>
        <v>0</v>
      </c>
      <c r="T21" s="37">
        <f t="shared" si="21"/>
        <v>0</v>
      </c>
      <c r="U21" s="37">
        <f t="shared" si="21"/>
        <v>0</v>
      </c>
      <c r="V21" s="37">
        <f t="shared" si="21"/>
        <v>0</v>
      </c>
      <c r="W21" s="39">
        <f t="shared" si="8"/>
        <v>901852.8288</v>
      </c>
      <c r="Y21" s="48">
        <v>2.0</v>
      </c>
      <c r="Z21" s="37">
        <v>7971615.000000001</v>
      </c>
    </row>
    <row r="22">
      <c r="A22" s="31">
        <v>2025.0</v>
      </c>
      <c r="B22" s="16">
        <f t="shared" ref="B22:V22" si="22">if(or($Y$3&gt;=$Y$4,$Y$4&gt;$Y$5,B$1&gt;$A22),,SUMIFS($B$2:$V$2,$B$1:$V$1,"&lt;="&amp;($A22-$Y$4+$Y$3),$B$1:$V$1,"&gt;="&amp;(B$1-$Y$5+$Y$3),$B$1:$V$1,"&lt;"&amp;(B$1)))*$Y$6*(1-$Y$7)*$Y$8</f>
        <v>0</v>
      </c>
      <c r="C22" s="37">
        <f t="shared" si="22"/>
        <v>30723.0528</v>
      </c>
      <c r="D22" s="37">
        <f t="shared" si="22"/>
        <v>53109.1968</v>
      </c>
      <c r="E22" s="37">
        <f t="shared" si="22"/>
        <v>95720.064</v>
      </c>
      <c r="F22" s="37">
        <f t="shared" si="22"/>
        <v>154155.6192</v>
      </c>
      <c r="G22" s="37">
        <f t="shared" si="22"/>
        <v>192598.032</v>
      </c>
      <c r="H22" s="37">
        <f t="shared" si="22"/>
        <v>239840.5152</v>
      </c>
      <c r="I22" s="37">
        <f t="shared" si="22"/>
        <v>257054.688</v>
      </c>
      <c r="J22" s="37">
        <f t="shared" si="22"/>
        <v>278514.5088</v>
      </c>
      <c r="K22" s="37">
        <f t="shared" si="22"/>
        <v>267861.792</v>
      </c>
      <c r="L22" s="38">
        <f t="shared" si="22"/>
        <v>235594.8672</v>
      </c>
      <c r="M22" s="37">
        <f t="shared" si="22"/>
        <v>209426.2368</v>
      </c>
      <c r="N22" s="37">
        <f t="shared" si="22"/>
        <v>198850.7136</v>
      </c>
      <c r="O22" s="37">
        <f t="shared" si="22"/>
        <v>187580.448</v>
      </c>
      <c r="P22" s="37">
        <f t="shared" si="22"/>
        <v>143734.4832</v>
      </c>
      <c r="Q22" s="37">
        <f t="shared" si="22"/>
        <v>111776.3328</v>
      </c>
      <c r="R22" s="37">
        <f t="shared" si="22"/>
        <v>0</v>
      </c>
      <c r="S22" s="37">
        <f t="shared" si="22"/>
        <v>0</v>
      </c>
      <c r="T22" s="37">
        <f t="shared" si="22"/>
        <v>0</v>
      </c>
      <c r="U22" s="37">
        <f t="shared" si="22"/>
        <v>0</v>
      </c>
      <c r="V22" s="37">
        <f t="shared" si="22"/>
        <v>0</v>
      </c>
      <c r="W22" s="39">
        <f t="shared" si="8"/>
        <v>1086963.082</v>
      </c>
      <c r="X22" s="36"/>
      <c r="Y22" s="37"/>
      <c r="Z22" s="36"/>
    </row>
    <row r="23">
      <c r="A23" s="31">
        <v>2026.0</v>
      </c>
      <c r="B23" s="16">
        <f t="shared" ref="B23:V23" si="23">if(or($Y$3&gt;=$Y$4,$Y$4&gt;$Y$5,B$1&gt;$A23),,SUMIFS($B$2:$V$2,$B$1:$V$1,"&lt;="&amp;($A23-$Y$4+$Y$3),$B$1:$V$1,"&gt;="&amp;(B$1-$Y$5+$Y$3),$B$1:$V$1,"&lt;"&amp;(B$1)))*$Y$6*(1-$Y$7)*$Y$8</f>
        <v>0</v>
      </c>
      <c r="C23" s="37">
        <f t="shared" si="23"/>
        <v>30723.0528</v>
      </c>
      <c r="D23" s="37">
        <f t="shared" si="23"/>
        <v>53109.1968</v>
      </c>
      <c r="E23" s="37">
        <f t="shared" si="23"/>
        <v>95720.064</v>
      </c>
      <c r="F23" s="37">
        <f t="shared" si="23"/>
        <v>154155.6192</v>
      </c>
      <c r="G23" s="37">
        <f t="shared" si="23"/>
        <v>192598.032</v>
      </c>
      <c r="H23" s="37">
        <f t="shared" si="23"/>
        <v>239840.5152</v>
      </c>
      <c r="I23" s="37">
        <f t="shared" si="23"/>
        <v>257054.688</v>
      </c>
      <c r="J23" s="37">
        <f t="shared" si="23"/>
        <v>278514.5088</v>
      </c>
      <c r="K23" s="37">
        <f t="shared" si="23"/>
        <v>267861.792</v>
      </c>
      <c r="L23" s="38">
        <f t="shared" si="23"/>
        <v>235594.8672</v>
      </c>
      <c r="M23" s="37">
        <f t="shared" si="23"/>
        <v>209426.2368</v>
      </c>
      <c r="N23" s="37">
        <f t="shared" si="23"/>
        <v>198850.7136</v>
      </c>
      <c r="O23" s="37">
        <f t="shared" si="23"/>
        <v>187580.448</v>
      </c>
      <c r="P23" s="37">
        <f t="shared" si="23"/>
        <v>180401.4432</v>
      </c>
      <c r="Q23" s="37">
        <f t="shared" si="23"/>
        <v>148443.2928</v>
      </c>
      <c r="R23" s="37">
        <f t="shared" si="23"/>
        <v>122274.6624</v>
      </c>
      <c r="S23" s="37">
        <f t="shared" si="23"/>
        <v>0</v>
      </c>
      <c r="T23" s="37">
        <f t="shared" si="23"/>
        <v>0</v>
      </c>
      <c r="U23" s="37">
        <f t="shared" si="23"/>
        <v>0</v>
      </c>
      <c r="V23" s="37">
        <f t="shared" si="23"/>
        <v>0</v>
      </c>
      <c r="W23" s="39">
        <f t="shared" si="8"/>
        <v>1282571.664</v>
      </c>
      <c r="X23" s="24" t="s">
        <v>11</v>
      </c>
      <c r="Y23" s="9">
        <v>3.0</v>
      </c>
      <c r="Z23" s="37">
        <v>9653855.4</v>
      </c>
    </row>
    <row r="24">
      <c r="A24" s="31">
        <v>2027.0</v>
      </c>
      <c r="B24" s="16">
        <f t="shared" ref="B24:V24" si="24">if(or($Y$3&gt;=$Y$4,$Y$4&gt;$Y$5,B$1&gt;$A24),,SUMIFS($B$2:$V$2,$B$1:$V$1,"&lt;="&amp;($A24-$Y$4+$Y$3),$B$1:$V$1,"&gt;="&amp;(B$1-$Y$5+$Y$3),$B$1:$V$1,"&lt;"&amp;(B$1)))*$Y$6*(1-$Y$7)*$Y$8</f>
        <v>0</v>
      </c>
      <c r="C24" s="37">
        <f t="shared" si="24"/>
        <v>30723.0528</v>
      </c>
      <c r="D24" s="37">
        <f t="shared" si="24"/>
        <v>53109.1968</v>
      </c>
      <c r="E24" s="37">
        <f t="shared" si="24"/>
        <v>95720.064</v>
      </c>
      <c r="F24" s="37">
        <f t="shared" si="24"/>
        <v>154155.6192</v>
      </c>
      <c r="G24" s="37">
        <f t="shared" si="24"/>
        <v>192598.032</v>
      </c>
      <c r="H24" s="37">
        <f t="shared" si="24"/>
        <v>239840.5152</v>
      </c>
      <c r="I24" s="37">
        <f t="shared" si="24"/>
        <v>257054.688</v>
      </c>
      <c r="J24" s="37">
        <f t="shared" si="24"/>
        <v>278514.5088</v>
      </c>
      <c r="K24" s="37">
        <f t="shared" si="24"/>
        <v>267861.792</v>
      </c>
      <c r="L24" s="38">
        <f t="shared" si="24"/>
        <v>235594.8672</v>
      </c>
      <c r="M24" s="37">
        <f t="shared" si="24"/>
        <v>209426.2368</v>
      </c>
      <c r="N24" s="37">
        <f t="shared" si="24"/>
        <v>198850.7136</v>
      </c>
      <c r="O24" s="37">
        <f t="shared" si="24"/>
        <v>187580.448</v>
      </c>
      <c r="P24" s="37">
        <f t="shared" si="24"/>
        <v>180401.4432</v>
      </c>
      <c r="Q24" s="37">
        <f t="shared" si="24"/>
        <v>185110.2528</v>
      </c>
      <c r="R24" s="37">
        <f t="shared" si="24"/>
        <v>158941.6224</v>
      </c>
      <c r="S24" s="37">
        <f t="shared" si="24"/>
        <v>146667.84</v>
      </c>
      <c r="T24" s="37">
        <f t="shared" si="24"/>
        <v>0</v>
      </c>
      <c r="U24" s="37">
        <f t="shared" si="24"/>
        <v>0</v>
      </c>
      <c r="V24" s="37">
        <f t="shared" si="24"/>
        <v>0</v>
      </c>
      <c r="W24" s="39">
        <f t="shared" si="8"/>
        <v>1502573.424</v>
      </c>
      <c r="Y24" s="9">
        <v>4.0</v>
      </c>
      <c r="Z24" s="37">
        <v>9324493.200000001</v>
      </c>
    </row>
    <row r="25">
      <c r="A25" s="31">
        <v>2028.0</v>
      </c>
      <c r="B25" s="16">
        <f t="shared" ref="B25:V25" si="25">if(or($Y$3&gt;=$Y$4,$Y$4&gt;$Y$5,B$1&gt;$A25),,SUMIFS($B$2:$V$2,$B$1:$V$1,"&lt;="&amp;($A25-$Y$4+$Y$3),$B$1:$V$1,"&gt;="&amp;(B$1-$Y$5+$Y$3),$B$1:$V$1,"&lt;"&amp;(B$1)))*$Y$6*(1-$Y$7)*$Y$8</f>
        <v>0</v>
      </c>
      <c r="C25" s="37">
        <f t="shared" si="25"/>
        <v>30723.0528</v>
      </c>
      <c r="D25" s="37">
        <f t="shared" si="25"/>
        <v>53109.1968</v>
      </c>
      <c r="E25" s="37">
        <f t="shared" si="25"/>
        <v>95720.064</v>
      </c>
      <c r="F25" s="37">
        <f t="shared" si="25"/>
        <v>154155.6192</v>
      </c>
      <c r="G25" s="37">
        <f t="shared" si="25"/>
        <v>192598.032</v>
      </c>
      <c r="H25" s="37">
        <f t="shared" si="25"/>
        <v>239840.5152</v>
      </c>
      <c r="I25" s="37">
        <f t="shared" si="25"/>
        <v>257054.688</v>
      </c>
      <c r="J25" s="37">
        <f t="shared" si="25"/>
        <v>278514.5088</v>
      </c>
      <c r="K25" s="37">
        <f t="shared" si="25"/>
        <v>267861.792</v>
      </c>
      <c r="L25" s="38">
        <f t="shared" si="25"/>
        <v>235594.8672</v>
      </c>
      <c r="M25" s="37">
        <f t="shared" si="25"/>
        <v>209426.2368</v>
      </c>
      <c r="N25" s="37">
        <f t="shared" si="25"/>
        <v>198850.7136</v>
      </c>
      <c r="O25" s="37">
        <f t="shared" si="25"/>
        <v>187580.448</v>
      </c>
      <c r="P25" s="37">
        <f t="shared" si="25"/>
        <v>180401.4432</v>
      </c>
      <c r="Q25" s="37">
        <f t="shared" si="25"/>
        <v>185110.2528</v>
      </c>
      <c r="R25" s="37">
        <f t="shared" si="25"/>
        <v>195608.5824</v>
      </c>
      <c r="S25" s="37">
        <f t="shared" si="25"/>
        <v>183334.8</v>
      </c>
      <c r="T25" s="37">
        <f t="shared" si="25"/>
        <v>146667.84</v>
      </c>
      <c r="U25" s="37">
        <f t="shared" si="25"/>
        <v>0</v>
      </c>
      <c r="V25" s="37">
        <f t="shared" si="25"/>
        <v>0</v>
      </c>
      <c r="W25" s="39">
        <f t="shared" si="8"/>
        <v>1722575.184</v>
      </c>
      <c r="Y25" s="9">
        <v>5.0</v>
      </c>
      <c r="Z25" s="37">
        <v>8830449.900000002</v>
      </c>
    </row>
    <row r="26">
      <c r="A26" s="31">
        <v>2029.0</v>
      </c>
      <c r="B26" s="16">
        <f t="shared" ref="B26:V26" si="26">if(or($Y$3&gt;=$Y$4,$Y$4&gt;$Y$5,B$1&gt;$A26),,SUMIFS($B$2:$V$2,$B$1:$V$1,"&lt;="&amp;($A26-$Y$4+$Y$3),$B$1:$V$1,"&gt;="&amp;(B$1-$Y$5+$Y$3),$B$1:$V$1,"&lt;"&amp;(B$1)))*$Y$6*(1-$Y$7)*$Y$8</f>
        <v>0</v>
      </c>
      <c r="C26" s="37">
        <f t="shared" si="26"/>
        <v>30723.0528</v>
      </c>
      <c r="D26" s="37">
        <f t="shared" si="26"/>
        <v>53109.1968</v>
      </c>
      <c r="E26" s="37">
        <f t="shared" si="26"/>
        <v>95720.064</v>
      </c>
      <c r="F26" s="37">
        <f t="shared" si="26"/>
        <v>154155.6192</v>
      </c>
      <c r="G26" s="37">
        <f t="shared" si="26"/>
        <v>192598.032</v>
      </c>
      <c r="H26" s="37">
        <f t="shared" si="26"/>
        <v>239840.5152</v>
      </c>
      <c r="I26" s="37">
        <f t="shared" si="26"/>
        <v>257054.688</v>
      </c>
      <c r="J26" s="37">
        <f t="shared" si="26"/>
        <v>278514.5088</v>
      </c>
      <c r="K26" s="37">
        <f t="shared" si="26"/>
        <v>267861.792</v>
      </c>
      <c r="L26" s="38">
        <f t="shared" si="26"/>
        <v>235594.8672</v>
      </c>
      <c r="M26" s="37">
        <f t="shared" si="26"/>
        <v>209426.2368</v>
      </c>
      <c r="N26" s="37">
        <f t="shared" si="26"/>
        <v>198850.7136</v>
      </c>
      <c r="O26" s="37">
        <f t="shared" si="26"/>
        <v>187580.448</v>
      </c>
      <c r="P26" s="37">
        <f t="shared" si="26"/>
        <v>180401.4432</v>
      </c>
      <c r="Q26" s="37">
        <f t="shared" si="26"/>
        <v>185110.2528</v>
      </c>
      <c r="R26" s="37">
        <f t="shared" si="26"/>
        <v>195608.5824</v>
      </c>
      <c r="S26" s="37">
        <f t="shared" si="26"/>
        <v>220001.76</v>
      </c>
      <c r="T26" s="37">
        <f t="shared" si="26"/>
        <v>183334.8</v>
      </c>
      <c r="U26" s="37">
        <f t="shared" si="26"/>
        <v>146667.84</v>
      </c>
      <c r="V26" s="37">
        <f t="shared" si="26"/>
        <v>0</v>
      </c>
      <c r="W26" s="39">
        <f t="shared" si="8"/>
        <v>1942576.944</v>
      </c>
      <c r="X26" s="36"/>
      <c r="Y26" s="37"/>
      <c r="Z26" s="36"/>
    </row>
    <row r="27">
      <c r="A27" s="49">
        <v>2030.0</v>
      </c>
      <c r="B27" s="50">
        <f t="shared" ref="B27:V27" si="27">if(or($Y$3&gt;=$Y$4,$Y$4&gt;$Y$5,B$1&gt;$A27),,SUMIFS($B$2:$V$2,$B$1:$V$1,"&lt;="&amp;($A27-$Y$4+$Y$3),$B$1:$V$1,"&gt;="&amp;(B$1-$Y$5+$Y$3),$B$1:$V$1,"&lt;"&amp;(B$1)))*$Y$6*(1-$Y$7)*$Y$8</f>
        <v>0</v>
      </c>
      <c r="C27" s="20">
        <f t="shared" si="27"/>
        <v>30723.0528</v>
      </c>
      <c r="D27" s="20">
        <f t="shared" si="27"/>
        <v>53109.1968</v>
      </c>
      <c r="E27" s="20">
        <f t="shared" si="27"/>
        <v>95720.064</v>
      </c>
      <c r="F27" s="20">
        <f t="shared" si="27"/>
        <v>154155.6192</v>
      </c>
      <c r="G27" s="20">
        <f t="shared" si="27"/>
        <v>192598.032</v>
      </c>
      <c r="H27" s="20">
        <f t="shared" si="27"/>
        <v>239840.5152</v>
      </c>
      <c r="I27" s="20">
        <f t="shared" si="27"/>
        <v>257054.688</v>
      </c>
      <c r="J27" s="20">
        <f t="shared" si="27"/>
        <v>278514.5088</v>
      </c>
      <c r="K27" s="20">
        <f t="shared" si="27"/>
        <v>267861.792</v>
      </c>
      <c r="L27" s="22">
        <f t="shared" si="27"/>
        <v>235594.8672</v>
      </c>
      <c r="M27" s="20">
        <f t="shared" si="27"/>
        <v>209426.2368</v>
      </c>
      <c r="N27" s="20">
        <f t="shared" si="27"/>
        <v>198850.7136</v>
      </c>
      <c r="O27" s="20">
        <f t="shared" si="27"/>
        <v>187580.448</v>
      </c>
      <c r="P27" s="20">
        <f t="shared" si="27"/>
        <v>180401.4432</v>
      </c>
      <c r="Q27" s="20">
        <f t="shared" si="27"/>
        <v>185110.2528</v>
      </c>
      <c r="R27" s="20">
        <f t="shared" si="27"/>
        <v>195608.5824</v>
      </c>
      <c r="S27" s="20">
        <f t="shared" si="27"/>
        <v>220001.76</v>
      </c>
      <c r="T27" s="20">
        <f t="shared" si="27"/>
        <v>220001.76</v>
      </c>
      <c r="U27" s="20">
        <f t="shared" si="27"/>
        <v>183334.8</v>
      </c>
      <c r="V27" s="20">
        <f t="shared" si="27"/>
        <v>146667.84</v>
      </c>
      <c r="W27" s="51">
        <f t="shared" si="8"/>
        <v>2162578.704</v>
      </c>
      <c r="X27" s="24" t="s">
        <v>25</v>
      </c>
      <c r="Y27" s="9">
        <v>50.0</v>
      </c>
      <c r="Z27" s="37">
        <v>1.0360548E7</v>
      </c>
    </row>
    <row r="28">
      <c r="A28" s="31">
        <v>2031.0</v>
      </c>
      <c r="B28" s="16">
        <f t="shared" ref="B28:V28" si="28">if(or($Y$3&gt;=$Y$4,$Y$4&gt;$Y$5,B$1&gt;$A28),,SUMIFS($B$2:$V$2,$B$1:$V$1,"&lt;="&amp;($A28-$Y$4+$Y$3),$B$1:$V$1,"&gt;="&amp;(B$1-$Y$5+$Y$3),$B$1:$V$1,"&lt;"&amp;(B$1)))*$Y$6*(1-$Y$7)*$Y$8</f>
        <v>0</v>
      </c>
      <c r="C28" s="37">
        <f t="shared" si="28"/>
        <v>30723.0528</v>
      </c>
      <c r="D28" s="37">
        <f t="shared" si="28"/>
        <v>53109.1968</v>
      </c>
      <c r="E28" s="37">
        <f t="shared" si="28"/>
        <v>95720.064</v>
      </c>
      <c r="F28" s="37">
        <f t="shared" si="28"/>
        <v>154155.6192</v>
      </c>
      <c r="G28" s="37">
        <f t="shared" si="28"/>
        <v>192598.032</v>
      </c>
      <c r="H28" s="37">
        <f t="shared" si="28"/>
        <v>239840.5152</v>
      </c>
      <c r="I28" s="37">
        <f t="shared" si="28"/>
        <v>257054.688</v>
      </c>
      <c r="J28" s="37">
        <f t="shared" si="28"/>
        <v>278514.5088</v>
      </c>
      <c r="K28" s="37">
        <f t="shared" si="28"/>
        <v>267861.792</v>
      </c>
      <c r="L28" s="38">
        <f t="shared" si="28"/>
        <v>235594.8672</v>
      </c>
      <c r="M28" s="37">
        <f t="shared" si="28"/>
        <v>209426.2368</v>
      </c>
      <c r="N28" s="37">
        <f t="shared" si="28"/>
        <v>198850.7136</v>
      </c>
      <c r="O28" s="37">
        <f t="shared" si="28"/>
        <v>187580.448</v>
      </c>
      <c r="P28" s="37">
        <f t="shared" si="28"/>
        <v>180401.4432</v>
      </c>
      <c r="Q28" s="37">
        <f t="shared" si="28"/>
        <v>185110.2528</v>
      </c>
      <c r="R28" s="37">
        <f t="shared" si="28"/>
        <v>195608.5824</v>
      </c>
      <c r="S28" s="37">
        <f t="shared" si="28"/>
        <v>220001.76</v>
      </c>
      <c r="T28" s="37">
        <f t="shared" si="28"/>
        <v>220001.76</v>
      </c>
      <c r="U28" s="37">
        <f t="shared" si="28"/>
        <v>220001.76</v>
      </c>
      <c r="V28" s="37">
        <f t="shared" si="28"/>
        <v>183334.8</v>
      </c>
      <c r="W28" s="39">
        <f t="shared" si="8"/>
        <v>2235912.624</v>
      </c>
      <c r="Y28" s="9">
        <v>45.0</v>
      </c>
      <c r="Z28" s="37">
        <v>9324493.200000001</v>
      </c>
    </row>
    <row r="29">
      <c r="A29" s="31">
        <v>2032.0</v>
      </c>
      <c r="B29" s="16">
        <f t="shared" ref="B29:V29" si="29">if(or($Y$3&gt;=$Y$4,$Y$4&gt;$Y$5,B$1&gt;$A29),,SUMIFS($B$2:$V$2,$B$1:$V$1,"&lt;="&amp;($A29-$Y$4+$Y$3),$B$1:$V$1,"&gt;="&amp;(B$1-$Y$5+$Y$3),$B$1:$V$1,"&lt;"&amp;(B$1)))*$Y$6*(1-$Y$7)*$Y$8</f>
        <v>0</v>
      </c>
      <c r="C29" s="37">
        <f t="shared" si="29"/>
        <v>30723.0528</v>
      </c>
      <c r="D29" s="37">
        <f t="shared" si="29"/>
        <v>53109.1968</v>
      </c>
      <c r="E29" s="37">
        <f t="shared" si="29"/>
        <v>95720.064</v>
      </c>
      <c r="F29" s="37">
        <f t="shared" si="29"/>
        <v>154155.6192</v>
      </c>
      <c r="G29" s="37">
        <f t="shared" si="29"/>
        <v>192598.032</v>
      </c>
      <c r="H29" s="37">
        <f t="shared" si="29"/>
        <v>239840.5152</v>
      </c>
      <c r="I29" s="37">
        <f t="shared" si="29"/>
        <v>257054.688</v>
      </c>
      <c r="J29" s="37">
        <f t="shared" si="29"/>
        <v>278514.5088</v>
      </c>
      <c r="K29" s="37">
        <f t="shared" si="29"/>
        <v>267861.792</v>
      </c>
      <c r="L29" s="38">
        <f t="shared" si="29"/>
        <v>235594.8672</v>
      </c>
      <c r="M29" s="37">
        <f t="shared" si="29"/>
        <v>209426.2368</v>
      </c>
      <c r="N29" s="37">
        <f t="shared" si="29"/>
        <v>198850.7136</v>
      </c>
      <c r="O29" s="37">
        <f t="shared" si="29"/>
        <v>187580.448</v>
      </c>
      <c r="P29" s="37">
        <f t="shared" si="29"/>
        <v>180401.4432</v>
      </c>
      <c r="Q29" s="37">
        <f t="shared" si="29"/>
        <v>185110.2528</v>
      </c>
      <c r="R29" s="37">
        <f t="shared" si="29"/>
        <v>195608.5824</v>
      </c>
      <c r="S29" s="37">
        <f t="shared" si="29"/>
        <v>220001.76</v>
      </c>
      <c r="T29" s="37">
        <f t="shared" si="29"/>
        <v>220001.76</v>
      </c>
      <c r="U29" s="37">
        <f t="shared" si="29"/>
        <v>220001.76</v>
      </c>
      <c r="V29" s="37">
        <f t="shared" si="29"/>
        <v>220001.76</v>
      </c>
      <c r="W29" s="39">
        <f t="shared" si="8"/>
        <v>2272579.584</v>
      </c>
      <c r="Y29" s="9">
        <v>40.0</v>
      </c>
      <c r="Z29" s="37">
        <v>8288438.4</v>
      </c>
    </row>
    <row r="30">
      <c r="A30" s="31">
        <v>2033.0</v>
      </c>
      <c r="B30" s="16">
        <f t="shared" ref="B30:V30" si="30">if(or($Y$3&gt;=$Y$4,$Y$4&gt;$Y$5,B$1&gt;$A30),,SUMIFS($B$2:$V$2,$B$1:$V$1,"&lt;="&amp;($A30-$Y$4+$Y$3),$B$1:$V$1,"&gt;="&amp;(B$1-$Y$5+$Y$3),$B$1:$V$1,"&lt;"&amp;(B$1)))*$Y$6*(1-$Y$7)*$Y$8</f>
        <v>0</v>
      </c>
      <c r="C30" s="37">
        <f t="shared" si="30"/>
        <v>30723.0528</v>
      </c>
      <c r="D30" s="37">
        <f t="shared" si="30"/>
        <v>53109.1968</v>
      </c>
      <c r="E30" s="37">
        <f t="shared" si="30"/>
        <v>95720.064</v>
      </c>
      <c r="F30" s="37">
        <f t="shared" si="30"/>
        <v>154155.6192</v>
      </c>
      <c r="G30" s="37">
        <f t="shared" si="30"/>
        <v>192598.032</v>
      </c>
      <c r="H30" s="37">
        <f t="shared" si="30"/>
        <v>239840.5152</v>
      </c>
      <c r="I30" s="37">
        <f t="shared" si="30"/>
        <v>257054.688</v>
      </c>
      <c r="J30" s="37">
        <f t="shared" si="30"/>
        <v>278514.5088</v>
      </c>
      <c r="K30" s="37">
        <f t="shared" si="30"/>
        <v>267861.792</v>
      </c>
      <c r="L30" s="38">
        <f t="shared" si="30"/>
        <v>235594.8672</v>
      </c>
      <c r="M30" s="37">
        <f t="shared" si="30"/>
        <v>209426.2368</v>
      </c>
      <c r="N30" s="37">
        <f t="shared" si="30"/>
        <v>198850.7136</v>
      </c>
      <c r="O30" s="37">
        <f t="shared" si="30"/>
        <v>187580.448</v>
      </c>
      <c r="P30" s="37">
        <f t="shared" si="30"/>
        <v>180401.4432</v>
      </c>
      <c r="Q30" s="37">
        <f t="shared" si="30"/>
        <v>185110.2528</v>
      </c>
      <c r="R30" s="37">
        <f t="shared" si="30"/>
        <v>195608.5824</v>
      </c>
      <c r="S30" s="37">
        <f t="shared" si="30"/>
        <v>220001.76</v>
      </c>
      <c r="T30" s="37">
        <f t="shared" si="30"/>
        <v>220001.76</v>
      </c>
      <c r="U30" s="37">
        <f t="shared" si="30"/>
        <v>220001.76</v>
      </c>
      <c r="V30" s="37">
        <f t="shared" si="30"/>
        <v>220001.76</v>
      </c>
      <c r="W30" s="39">
        <f t="shared" si="8"/>
        <v>2272579.584</v>
      </c>
      <c r="X30" s="36"/>
      <c r="Y30" s="37"/>
      <c r="Z30" s="36"/>
    </row>
    <row r="31">
      <c r="A31" s="31">
        <v>2034.0</v>
      </c>
      <c r="B31" s="16">
        <f t="shared" ref="B31:V31" si="31">if(or($Y$3&gt;=$Y$4,$Y$4&gt;$Y$5,B$1&gt;$A31),,SUMIFS($B$2:$V$2,$B$1:$V$1,"&lt;="&amp;($A31-$Y$4+$Y$3),$B$1:$V$1,"&gt;="&amp;(B$1-$Y$5+$Y$3),$B$1:$V$1,"&lt;"&amp;(B$1)))*$Y$6*(1-$Y$7)*$Y$8</f>
        <v>0</v>
      </c>
      <c r="C31" s="37">
        <f t="shared" si="31"/>
        <v>30723.0528</v>
      </c>
      <c r="D31" s="37">
        <f t="shared" si="31"/>
        <v>53109.1968</v>
      </c>
      <c r="E31" s="37">
        <f t="shared" si="31"/>
        <v>95720.064</v>
      </c>
      <c r="F31" s="37">
        <f t="shared" si="31"/>
        <v>154155.6192</v>
      </c>
      <c r="G31" s="37">
        <f t="shared" si="31"/>
        <v>192598.032</v>
      </c>
      <c r="H31" s="37">
        <f t="shared" si="31"/>
        <v>239840.5152</v>
      </c>
      <c r="I31" s="37">
        <f t="shared" si="31"/>
        <v>257054.688</v>
      </c>
      <c r="J31" s="37">
        <f t="shared" si="31"/>
        <v>278514.5088</v>
      </c>
      <c r="K31" s="37">
        <f t="shared" si="31"/>
        <v>267861.792</v>
      </c>
      <c r="L31" s="38">
        <f t="shared" si="31"/>
        <v>235594.8672</v>
      </c>
      <c r="M31" s="37">
        <f t="shared" si="31"/>
        <v>209426.2368</v>
      </c>
      <c r="N31" s="37">
        <f t="shared" si="31"/>
        <v>198850.7136</v>
      </c>
      <c r="O31" s="37">
        <f t="shared" si="31"/>
        <v>187580.448</v>
      </c>
      <c r="P31" s="37">
        <f t="shared" si="31"/>
        <v>180401.4432</v>
      </c>
      <c r="Q31" s="37">
        <f t="shared" si="31"/>
        <v>185110.2528</v>
      </c>
      <c r="R31" s="37">
        <f t="shared" si="31"/>
        <v>195608.5824</v>
      </c>
      <c r="S31" s="37">
        <f t="shared" si="31"/>
        <v>220001.76</v>
      </c>
      <c r="T31" s="37">
        <f t="shared" si="31"/>
        <v>220001.76</v>
      </c>
      <c r="U31" s="37">
        <f t="shared" si="31"/>
        <v>220001.76</v>
      </c>
      <c r="V31" s="37">
        <f t="shared" si="31"/>
        <v>220001.76</v>
      </c>
      <c r="W31" s="39">
        <f t="shared" si="8"/>
        <v>2272579.584</v>
      </c>
      <c r="X31" s="24" t="s">
        <v>26</v>
      </c>
      <c r="Y31" s="9">
        <v>15.0</v>
      </c>
      <c r="Z31" s="37">
        <v>8806465.8</v>
      </c>
    </row>
    <row r="32">
      <c r="A32" s="49">
        <v>2035.0</v>
      </c>
      <c r="B32" s="50">
        <f t="shared" ref="B32:V32" si="32">if(or($Y$3&gt;=$Y$4,$Y$4&gt;$Y$5,B$1&gt;$A32),,SUMIFS($B$2:$V$2,$B$1:$V$1,"&lt;="&amp;($A32-$Y$4+$Y$3),$B$1:$V$1,"&gt;="&amp;(B$1-$Y$5+$Y$3),$B$1:$V$1,"&lt;"&amp;(B$1)))*$Y$6*(1-$Y$7)*$Y$8</f>
        <v>0</v>
      </c>
      <c r="C32" s="20">
        <f t="shared" si="32"/>
        <v>30723.0528</v>
      </c>
      <c r="D32" s="20">
        <f t="shared" si="32"/>
        <v>53109.1968</v>
      </c>
      <c r="E32" s="20">
        <f t="shared" si="32"/>
        <v>95720.064</v>
      </c>
      <c r="F32" s="20">
        <f t="shared" si="32"/>
        <v>154155.6192</v>
      </c>
      <c r="G32" s="20">
        <f t="shared" si="32"/>
        <v>192598.032</v>
      </c>
      <c r="H32" s="20">
        <f t="shared" si="32"/>
        <v>239840.5152</v>
      </c>
      <c r="I32" s="20">
        <f t="shared" si="32"/>
        <v>257054.688</v>
      </c>
      <c r="J32" s="20">
        <f t="shared" si="32"/>
        <v>278514.5088</v>
      </c>
      <c r="K32" s="20">
        <f t="shared" si="32"/>
        <v>267861.792</v>
      </c>
      <c r="L32" s="22">
        <f t="shared" si="32"/>
        <v>235594.8672</v>
      </c>
      <c r="M32" s="20">
        <f t="shared" si="32"/>
        <v>209426.2368</v>
      </c>
      <c r="N32" s="20">
        <f t="shared" si="32"/>
        <v>198850.7136</v>
      </c>
      <c r="O32" s="20">
        <f t="shared" si="32"/>
        <v>187580.448</v>
      </c>
      <c r="P32" s="20">
        <f t="shared" si="32"/>
        <v>180401.4432</v>
      </c>
      <c r="Q32" s="20">
        <f t="shared" si="32"/>
        <v>185110.2528</v>
      </c>
      <c r="R32" s="20">
        <f t="shared" si="32"/>
        <v>195608.5824</v>
      </c>
      <c r="S32" s="20">
        <f t="shared" si="32"/>
        <v>220001.76</v>
      </c>
      <c r="T32" s="20">
        <f t="shared" si="32"/>
        <v>220001.76</v>
      </c>
      <c r="U32" s="20">
        <f t="shared" si="32"/>
        <v>220001.76</v>
      </c>
      <c r="V32" s="20">
        <f t="shared" si="32"/>
        <v>220001.76</v>
      </c>
      <c r="W32" s="51">
        <f t="shared" si="8"/>
        <v>2272579.584</v>
      </c>
      <c r="Y32" s="9">
        <v>10.0</v>
      </c>
      <c r="Z32" s="37">
        <v>9324493.200000001</v>
      </c>
    </row>
    <row r="33">
      <c r="A33" s="52"/>
      <c r="B33" s="1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53"/>
      <c r="Y33" s="9">
        <v>5.0</v>
      </c>
      <c r="Z33" s="37">
        <v>9842520.599999998</v>
      </c>
    </row>
    <row r="34">
      <c r="A34" s="52" t="s">
        <v>27</v>
      </c>
      <c r="B34" s="16"/>
      <c r="C34" s="37"/>
      <c r="D34" s="37"/>
      <c r="E34" s="37"/>
      <c r="F34" s="37"/>
      <c r="G34" s="37"/>
      <c r="H34" s="37"/>
      <c r="I34" s="37">
        <v>-203.8432526647165</v>
      </c>
      <c r="J34" s="37">
        <v>-1836.9572505915635</v>
      </c>
      <c r="K34" s="37"/>
      <c r="L34" s="37">
        <f t="shared" ref="L34:V34" si="33">sum($L$29:L29)</f>
        <v>235594.8672</v>
      </c>
      <c r="M34" s="37">
        <f t="shared" si="33"/>
        <v>445021.104</v>
      </c>
      <c r="N34" s="37">
        <f t="shared" si="33"/>
        <v>643871.8176</v>
      </c>
      <c r="O34" s="37">
        <f t="shared" si="33"/>
        <v>831452.2656</v>
      </c>
      <c r="P34" s="37">
        <f t="shared" si="33"/>
        <v>1011853.709</v>
      </c>
      <c r="Q34" s="37">
        <f t="shared" si="33"/>
        <v>1196963.962</v>
      </c>
      <c r="R34" s="37">
        <f t="shared" si="33"/>
        <v>1392572.544</v>
      </c>
      <c r="S34" s="37">
        <f t="shared" si="33"/>
        <v>1612574.304</v>
      </c>
      <c r="T34" s="37">
        <f t="shared" si="33"/>
        <v>1832576.064</v>
      </c>
      <c r="U34" s="37">
        <f t="shared" si="33"/>
        <v>2052577.824</v>
      </c>
      <c r="V34" s="37">
        <f t="shared" si="33"/>
        <v>2272579.584</v>
      </c>
      <c r="W34" s="37"/>
      <c r="X34" s="36"/>
      <c r="Y34" s="36"/>
      <c r="Z34" s="36"/>
    </row>
    <row r="35">
      <c r="A35" s="52" t="s">
        <v>28</v>
      </c>
      <c r="B35" s="16"/>
      <c r="C35" s="37"/>
      <c r="D35" s="37"/>
      <c r="E35" s="37"/>
      <c r="F35" s="37"/>
      <c r="G35" s="37"/>
      <c r="H35" s="37"/>
      <c r="I35" s="37"/>
      <c r="J35" s="37">
        <f>J34/I34</f>
        <v>9.011616654</v>
      </c>
      <c r="K35" s="37"/>
      <c r="L35" s="37">
        <f t="shared" ref="L35:V35" si="34">L34*$J$35</f>
        <v>2123090.629</v>
      </c>
      <c r="M35" s="37">
        <f t="shared" si="34"/>
        <v>4010359.592</v>
      </c>
      <c r="N35" s="37">
        <f t="shared" si="34"/>
        <v>5802325.995</v>
      </c>
      <c r="O35" s="37">
        <f t="shared" si="34"/>
        <v>7492729.084</v>
      </c>
      <c r="P35" s="37">
        <f t="shared" si="34"/>
        <v>9118437.734</v>
      </c>
      <c r="Q35" s="37">
        <f t="shared" si="34"/>
        <v>10786580.37</v>
      </c>
      <c r="R35" s="37">
        <f t="shared" si="34"/>
        <v>12549329.93</v>
      </c>
      <c r="S35" s="37">
        <f t="shared" si="34"/>
        <v>14531901.45</v>
      </c>
      <c r="T35" s="37">
        <f t="shared" si="34"/>
        <v>16514472.98</v>
      </c>
      <c r="U35" s="37">
        <f t="shared" si="34"/>
        <v>18497044.5</v>
      </c>
      <c r="V35" s="37">
        <f t="shared" si="34"/>
        <v>20479616.03</v>
      </c>
      <c r="W35" s="37"/>
      <c r="X35" s="36"/>
      <c r="Y35" s="36"/>
      <c r="Z35" s="36"/>
    </row>
  </sheetData>
  <mergeCells count="2">
    <mergeCell ref="X1:Z1"/>
    <mergeCell ref="B5:V5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5.43"/>
    <col customWidth="1" min="16" max="16" width="8.71"/>
    <col customWidth="1" min="18" max="18" width="11.86"/>
    <col customWidth="1" min="19" max="19" width="12.86"/>
    <col customWidth="1" min="20" max="20" width="10.57"/>
    <col customWidth="1" min="21" max="21" width="12.86"/>
  </cols>
  <sheetData>
    <row r="2">
      <c r="Y2" s="24">
        <v>-89475.0</v>
      </c>
      <c r="Z2" s="24">
        <v>-305377.0</v>
      </c>
      <c r="AA2" s="24">
        <v>65567.0</v>
      </c>
      <c r="AB2" s="24">
        <v>-431816.0</v>
      </c>
      <c r="AC2" s="24">
        <v>-876877.0</v>
      </c>
      <c r="AD2" s="24">
        <v>-1312350.0</v>
      </c>
      <c r="AE2" s="24">
        <v>-1472187.0</v>
      </c>
      <c r="AF2" s="24">
        <v>-1408972.0</v>
      </c>
      <c r="AG2" s="24">
        <v>-934220.0</v>
      </c>
    </row>
    <row r="3">
      <c r="Y3" s="24">
        <v>5353.0</v>
      </c>
      <c r="Z3" s="24">
        <v>-30562.0</v>
      </c>
      <c r="AA3" s="24">
        <v>30966.0</v>
      </c>
      <c r="AB3" s="24">
        <v>-72974.0</v>
      </c>
      <c r="AC3" s="24">
        <v>-114819.0</v>
      </c>
      <c r="AD3" s="24">
        <v>-184098.0</v>
      </c>
      <c r="AE3" s="24">
        <v>-178184.0</v>
      </c>
      <c r="AF3" s="24">
        <v>-187470.0</v>
      </c>
      <c r="AG3" s="24">
        <v>-90612.0</v>
      </c>
    </row>
    <row r="6">
      <c r="C6" s="24" t="s">
        <v>29</v>
      </c>
      <c r="H6" s="54" t="s">
        <v>30</v>
      </c>
      <c r="I6" s="54" t="s">
        <v>31</v>
      </c>
      <c r="J6" s="54" t="s">
        <v>32</v>
      </c>
      <c r="K6" s="54" t="s">
        <v>33</v>
      </c>
      <c r="L6" s="54" t="s">
        <v>34</v>
      </c>
      <c r="P6" s="55" t="s">
        <v>0</v>
      </c>
      <c r="Q6" s="55" t="s">
        <v>35</v>
      </c>
      <c r="R6" s="55" t="s">
        <v>36</v>
      </c>
      <c r="S6" s="55" t="s">
        <v>37</v>
      </c>
      <c r="T6" s="55" t="s">
        <v>38</v>
      </c>
      <c r="U6" s="55" t="s">
        <v>37</v>
      </c>
      <c r="X6" s="24">
        <v>2020.0</v>
      </c>
    </row>
    <row r="7" ht="21.0" customHeight="1">
      <c r="H7" s="56" t="s">
        <v>39</v>
      </c>
      <c r="I7" s="56" t="s">
        <v>40</v>
      </c>
      <c r="J7" s="56" t="s">
        <v>41</v>
      </c>
      <c r="K7" s="56" t="s">
        <v>42</v>
      </c>
      <c r="L7" s="56" t="s">
        <v>43</v>
      </c>
      <c r="P7" s="57" t="s">
        <v>44</v>
      </c>
      <c r="Q7" s="58">
        <v>90.0</v>
      </c>
      <c r="R7" s="59">
        <v>5353.0</v>
      </c>
      <c r="S7" s="59">
        <v>-89475.0</v>
      </c>
      <c r="T7" s="60">
        <f t="shared" ref="T7:T15" si="1">R7/Q7</f>
        <v>59.47777778</v>
      </c>
      <c r="U7" s="60">
        <f t="shared" ref="U7:U15" si="2">S7/Q7</f>
        <v>-994.1666667</v>
      </c>
      <c r="X7" s="24" t="s">
        <v>45</v>
      </c>
      <c r="Y7" s="61">
        <v>711.24</v>
      </c>
      <c r="Z7" s="24" t="s">
        <v>46</v>
      </c>
      <c r="AA7" s="41">
        <f>C10</f>
        <v>-1029492</v>
      </c>
    </row>
    <row r="8">
      <c r="H8" s="62">
        <v>-676.0</v>
      </c>
      <c r="I8" s="63">
        <v>-4771.0</v>
      </c>
      <c r="J8" s="62">
        <v>0.0</v>
      </c>
      <c r="K8" s="63">
        <v>8192.0</v>
      </c>
      <c r="L8" s="63">
        <v>-119727.0</v>
      </c>
      <c r="P8" s="57" t="s">
        <v>47</v>
      </c>
      <c r="Q8" s="58">
        <v>191.0</v>
      </c>
      <c r="R8" s="59">
        <v>-30562.0</v>
      </c>
      <c r="S8" s="59">
        <v>-305377.0</v>
      </c>
      <c r="T8" s="60">
        <f t="shared" si="1"/>
        <v>-160.0104712</v>
      </c>
      <c r="U8" s="60">
        <f t="shared" si="2"/>
        <v>-1598.832461</v>
      </c>
      <c r="W8" s="64">
        <v>2.0479616E7</v>
      </c>
      <c r="X8" s="24" t="s">
        <v>48</v>
      </c>
      <c r="Y8" s="65">
        <v>29070.33</v>
      </c>
      <c r="Z8" s="24" t="s">
        <v>49</v>
      </c>
      <c r="AA8" s="24">
        <v>632.0</v>
      </c>
      <c r="AB8" s="24"/>
      <c r="AC8" s="24"/>
      <c r="AD8" s="24"/>
      <c r="AE8" s="24"/>
      <c r="AF8" s="24"/>
      <c r="AG8" s="24"/>
    </row>
    <row r="9">
      <c r="H9" s="63">
        <v>-6367.0</v>
      </c>
      <c r="I9" s="63">
        <v>-98721.0</v>
      </c>
      <c r="J9" s="63">
        <v>8463.0</v>
      </c>
      <c r="K9" s="63">
        <v>48427.0</v>
      </c>
      <c r="L9" s="63">
        <v>-981294.0</v>
      </c>
      <c r="P9" s="57" t="s">
        <v>50</v>
      </c>
      <c r="Q9" s="58">
        <v>241.0</v>
      </c>
      <c r="R9" s="59">
        <v>30966.0</v>
      </c>
      <c r="S9" s="59">
        <v>65567.0</v>
      </c>
      <c r="T9" s="60">
        <f t="shared" si="1"/>
        <v>128.4896266</v>
      </c>
      <c r="U9" s="60">
        <f t="shared" si="2"/>
        <v>272.0622407</v>
      </c>
      <c r="W9" s="66">
        <f>(W8*Y8)/Y7</f>
        <v>837058089.2</v>
      </c>
      <c r="Z9" s="67" t="s">
        <v>51</v>
      </c>
      <c r="AA9" s="68">
        <v>9.0</v>
      </c>
      <c r="AB9" s="68"/>
      <c r="AC9" s="68"/>
      <c r="AD9" s="68"/>
      <c r="AE9" s="68"/>
      <c r="AF9" s="68"/>
      <c r="AG9" s="68"/>
    </row>
    <row r="10">
      <c r="B10" s="24" t="s">
        <v>46</v>
      </c>
      <c r="C10" s="41">
        <f>sum(H9:L9)</f>
        <v>-1029492</v>
      </c>
      <c r="P10" s="57" t="s">
        <v>52</v>
      </c>
      <c r="Q10" s="58">
        <v>274.0</v>
      </c>
      <c r="R10" s="59">
        <v>-72974.0</v>
      </c>
      <c r="S10" s="59">
        <v>-431816.0</v>
      </c>
      <c r="T10" s="60">
        <f t="shared" si="1"/>
        <v>-266.3284672</v>
      </c>
      <c r="U10" s="60">
        <f t="shared" si="2"/>
        <v>-1575.970803</v>
      </c>
      <c r="Z10" s="69" t="s">
        <v>53</v>
      </c>
      <c r="AA10" s="53">
        <f>round((AA7/AA8)/AA9,0)</f>
        <v>-181</v>
      </c>
      <c r="AB10" s="53"/>
      <c r="AC10" s="53"/>
      <c r="AD10" s="53"/>
      <c r="AE10" s="53"/>
      <c r="AF10" s="53"/>
      <c r="AG10" s="53"/>
    </row>
    <row r="11">
      <c r="B11" s="24" t="s">
        <v>49</v>
      </c>
      <c r="C11" s="24">
        <v>632.0</v>
      </c>
      <c r="G11" s="41">
        <f>'Hoja 1'!W27</f>
        <v>2162578.704</v>
      </c>
      <c r="H11" s="41">
        <f>'Hoja 1'!W32</f>
        <v>2272579.584</v>
      </c>
      <c r="P11" s="57" t="s">
        <v>54</v>
      </c>
      <c r="Q11" s="58">
        <v>371.0</v>
      </c>
      <c r="R11" s="59">
        <v>-114819.0</v>
      </c>
      <c r="S11" s="59">
        <v>-876877.0</v>
      </c>
      <c r="T11" s="60">
        <f t="shared" si="1"/>
        <v>-309.4851752</v>
      </c>
      <c r="U11" s="60">
        <f t="shared" si="2"/>
        <v>-2363.549865</v>
      </c>
      <c r="W11" s="24" t="s">
        <v>55</v>
      </c>
    </row>
    <row r="12">
      <c r="B12" s="67" t="s">
        <v>51</v>
      </c>
      <c r="C12" s="68">
        <v>9.0</v>
      </c>
      <c r="E12" s="70"/>
      <c r="F12" s="71" t="s">
        <v>56</v>
      </c>
      <c r="G12" s="71" t="s">
        <v>57</v>
      </c>
      <c r="H12" s="71" t="s">
        <v>58</v>
      </c>
      <c r="J12" s="24" t="s">
        <v>59</v>
      </c>
      <c r="P12" s="57" t="s">
        <v>60</v>
      </c>
      <c r="Q12" s="58">
        <v>447.0</v>
      </c>
      <c r="R12" s="59">
        <v>-184098.0</v>
      </c>
      <c r="S12" s="59">
        <v>-1312350.0</v>
      </c>
      <c r="T12" s="60">
        <f t="shared" si="1"/>
        <v>-411.852349</v>
      </c>
      <c r="U12" s="60">
        <f t="shared" si="2"/>
        <v>-2935.90604</v>
      </c>
      <c r="W12" s="72">
        <v>2910102.0</v>
      </c>
      <c r="X12" s="73">
        <f>W12*1000/Y7</f>
        <v>4091589.337</v>
      </c>
    </row>
    <row r="13">
      <c r="B13" s="69" t="s">
        <v>53</v>
      </c>
      <c r="C13" s="53">
        <f>round((C10/C11)/C12,0)</f>
        <v>-181</v>
      </c>
      <c r="E13" s="71" t="s">
        <v>61</v>
      </c>
      <c r="F13" s="70">
        <f>min('Hoja 1'!B2:L2)</f>
        <v>159</v>
      </c>
      <c r="G13" s="74">
        <v>2312631.36</v>
      </c>
      <c r="H13" s="74">
        <v>2378924.93925</v>
      </c>
      <c r="P13" s="57" t="s">
        <v>62</v>
      </c>
      <c r="Q13" s="58">
        <v>529.0</v>
      </c>
      <c r="R13" s="59">
        <v>-178184.0</v>
      </c>
      <c r="S13" s="59">
        <v>-1472187.0</v>
      </c>
      <c r="T13" s="60">
        <f t="shared" si="1"/>
        <v>-336.831758</v>
      </c>
      <c r="U13" s="60">
        <f t="shared" si="2"/>
        <v>-2782.962193</v>
      </c>
    </row>
    <row r="14">
      <c r="E14" s="71" t="s">
        <v>63</v>
      </c>
      <c r="F14" s="70">
        <f>MEDIAN('Hoja 1'!B2:L2)</f>
        <v>498</v>
      </c>
      <c r="G14" s="74">
        <v>4028759.4870000016</v>
      </c>
      <c r="H14" s="74">
        <v>4238063.743500002</v>
      </c>
      <c r="P14" s="57" t="s">
        <v>64</v>
      </c>
      <c r="Q14" s="58">
        <v>527.0</v>
      </c>
      <c r="R14" s="59">
        <v>-187470.0</v>
      </c>
      <c r="S14" s="59">
        <v>-1408972.0</v>
      </c>
      <c r="T14" s="60">
        <f t="shared" si="1"/>
        <v>-355.7305503</v>
      </c>
      <c r="U14" s="60">
        <f t="shared" si="2"/>
        <v>-2673.571157</v>
      </c>
    </row>
    <row r="15">
      <c r="E15" s="71" t="s">
        <v>65</v>
      </c>
      <c r="F15" s="75">
        <f>AVERAGE('Hoja 1'!B2:L2)</f>
        <v>473.4545455</v>
      </c>
      <c r="G15" s="74">
        <v>3893670.684</v>
      </c>
      <c r="H15" s="74">
        <v>4091717.5402499996</v>
      </c>
      <c r="P15" s="57" t="s">
        <v>66</v>
      </c>
      <c r="Q15" s="58">
        <v>497.0</v>
      </c>
      <c r="R15" s="59">
        <v>-90612.0</v>
      </c>
      <c r="S15" s="59">
        <v>-934220.0</v>
      </c>
      <c r="T15" s="60">
        <f t="shared" si="1"/>
        <v>-182.3179074</v>
      </c>
      <c r="U15" s="60">
        <f t="shared" si="2"/>
        <v>-1879.71831</v>
      </c>
    </row>
    <row r="16">
      <c r="E16" s="71" t="s">
        <v>67</v>
      </c>
      <c r="F16" s="70">
        <f>MAX('Hoja 1'!B2:L2)</f>
        <v>757</v>
      </c>
      <c r="G16" s="74">
        <v>5314604.760000001</v>
      </c>
      <c r="H16" s="74">
        <v>5631062.789250001</v>
      </c>
      <c r="P16" s="76" t="s">
        <v>68</v>
      </c>
      <c r="Q16" s="60">
        <f t="shared" ref="Q16:U16" si="3">average(Q7:Q15)</f>
        <v>351.8888889</v>
      </c>
      <c r="R16" s="60">
        <f t="shared" si="3"/>
        <v>-91377.77778</v>
      </c>
      <c r="S16" s="60">
        <f t="shared" si="3"/>
        <v>-751745.2222</v>
      </c>
      <c r="T16" s="60">
        <f t="shared" si="3"/>
        <v>-203.8432527</v>
      </c>
      <c r="U16" s="60">
        <f t="shared" si="3"/>
        <v>-1836.957251</v>
      </c>
    </row>
    <row r="17">
      <c r="P17" s="24" t="s">
        <v>69</v>
      </c>
    </row>
    <row r="18">
      <c r="J18" s="24" t="s">
        <v>70</v>
      </c>
      <c r="K18" s="24" t="s">
        <v>71</v>
      </c>
    </row>
    <row r="19">
      <c r="J19" s="24">
        <v>2020.0</v>
      </c>
      <c r="K19" s="41">
        <f>'Hoja 1'!L34</f>
        <v>235594.8672</v>
      </c>
      <c r="V19" s="41" t="str">
        <f>'Hoja 1'!W34</f>
        <v/>
      </c>
    </row>
    <row r="20">
      <c r="J20" s="24">
        <v>2021.0</v>
      </c>
      <c r="K20" s="41">
        <f>'Hoja 1'!M34</f>
        <v>445021.104</v>
      </c>
    </row>
    <row r="21">
      <c r="J21" s="24">
        <v>2022.0</v>
      </c>
      <c r="K21" s="41">
        <f>'Hoja 1'!N34</f>
        <v>643871.8176</v>
      </c>
    </row>
    <row r="22">
      <c r="J22" s="24">
        <v>2023.0</v>
      </c>
      <c r="K22" s="41">
        <f>'Hoja 1'!O34</f>
        <v>831452.2656</v>
      </c>
    </row>
    <row r="23">
      <c r="J23" s="24">
        <v>2024.0</v>
      </c>
      <c r="K23" s="41">
        <f>'Hoja 1'!P34</f>
        <v>1011853.709</v>
      </c>
    </row>
    <row r="24">
      <c r="J24" s="24">
        <v>2025.0</v>
      </c>
      <c r="K24" s="41">
        <f>'Hoja 1'!Q34</f>
        <v>1196963.962</v>
      </c>
    </row>
    <row r="25">
      <c r="J25" s="24">
        <v>2026.0</v>
      </c>
      <c r="K25" s="41">
        <f>'Hoja 1'!R34</f>
        <v>1392572.544</v>
      </c>
    </row>
    <row r="26">
      <c r="J26" s="24">
        <v>2027.0</v>
      </c>
      <c r="K26" s="41">
        <f>'Hoja 1'!S34</f>
        <v>1612574.304</v>
      </c>
    </row>
    <row r="27">
      <c r="J27" s="24">
        <v>2028.0</v>
      </c>
      <c r="K27" s="41">
        <f>'Hoja 1'!T34</f>
        <v>1832576.064</v>
      </c>
    </row>
    <row r="28">
      <c r="D28" s="24" t="s">
        <v>72</v>
      </c>
      <c r="J28" s="24">
        <v>2029.0</v>
      </c>
      <c r="K28" s="41">
        <f>'Hoja 1'!U34</f>
        <v>2052577.824</v>
      </c>
    </row>
    <row r="29">
      <c r="E29" s="24" t="s">
        <v>3</v>
      </c>
      <c r="J29" s="24">
        <v>2030.0</v>
      </c>
      <c r="K29" s="41">
        <f>'Hoja 1'!V34</f>
        <v>2272579.584</v>
      </c>
    </row>
    <row r="30">
      <c r="Z30" s="24" t="s">
        <v>73</v>
      </c>
    </row>
    <row r="31">
      <c r="D31" s="28" t="s">
        <v>0</v>
      </c>
      <c r="E31" s="28" t="s">
        <v>74</v>
      </c>
      <c r="F31" s="28" t="s">
        <v>75</v>
      </c>
      <c r="G31" s="28" t="s">
        <v>76</v>
      </c>
      <c r="J31" s="28" t="s">
        <v>0</v>
      </c>
      <c r="K31" s="77" t="s">
        <v>77</v>
      </c>
      <c r="L31" s="77" t="s">
        <v>78</v>
      </c>
      <c r="M31" s="77" t="s">
        <v>79</v>
      </c>
      <c r="Q31" s="28" t="s">
        <v>0</v>
      </c>
      <c r="R31" s="77" t="s">
        <v>80</v>
      </c>
      <c r="S31" s="77" t="s">
        <v>81</v>
      </c>
      <c r="T31" s="77" t="s">
        <v>82</v>
      </c>
      <c r="Y31" s="28" t="s">
        <v>0</v>
      </c>
      <c r="Z31" s="28" t="s">
        <v>83</v>
      </c>
      <c r="AA31" s="28" t="s">
        <v>84</v>
      </c>
      <c r="AB31" s="28" t="s">
        <v>85</v>
      </c>
      <c r="AC31" s="28" t="s">
        <v>86</v>
      </c>
    </row>
    <row r="32">
      <c r="D32" s="78">
        <v>2020.0</v>
      </c>
      <c r="E32" s="79">
        <v>235594.8672</v>
      </c>
      <c r="F32" s="79">
        <v>235594.8672</v>
      </c>
      <c r="G32" s="79">
        <v>235594.8672</v>
      </c>
      <c r="J32" s="78">
        <v>2020.0</v>
      </c>
      <c r="K32" s="10">
        <v>117797.4336</v>
      </c>
      <c r="L32" s="79">
        <v>235594.8672</v>
      </c>
      <c r="M32" s="10">
        <v>353392.3008</v>
      </c>
      <c r="Q32" s="78">
        <v>2020.0</v>
      </c>
      <c r="R32" s="79">
        <v>257510.66879999998</v>
      </c>
      <c r="S32" s="10">
        <v>235594.8672</v>
      </c>
      <c r="T32" s="79">
        <v>213679.0656</v>
      </c>
      <c r="Y32" s="78">
        <v>2020.0</v>
      </c>
      <c r="Z32" s="80">
        <v>176696.1504</v>
      </c>
      <c r="AA32" s="41">
        <v>235594.8672</v>
      </c>
      <c r="AB32" s="80">
        <v>353392.3008</v>
      </c>
      <c r="AC32" s="80">
        <v>471189.7344</v>
      </c>
    </row>
    <row r="33">
      <c r="D33" s="78">
        <v>2021.0</v>
      </c>
      <c r="E33" s="79">
        <v>445021.10400000005</v>
      </c>
      <c r="F33" s="79">
        <v>445021.10400000005</v>
      </c>
      <c r="G33" s="79">
        <v>445021.10400000005</v>
      </c>
      <c r="J33" s="78">
        <v>2021.0</v>
      </c>
      <c r="K33" s="10">
        <v>222510.55200000003</v>
      </c>
      <c r="L33" s="79">
        <v>445021.10400000005</v>
      </c>
      <c r="M33" s="10">
        <v>667531.6560000001</v>
      </c>
      <c r="Q33" s="78">
        <v>2021.0</v>
      </c>
      <c r="R33" s="79">
        <v>486418.41599999997</v>
      </c>
      <c r="S33" s="10">
        <v>445021.10400000005</v>
      </c>
      <c r="T33" s="79">
        <v>403623.792</v>
      </c>
      <c r="Y33" s="78">
        <v>2021.0</v>
      </c>
      <c r="Z33" s="80">
        <v>333765.82800000004</v>
      </c>
      <c r="AA33" s="41">
        <v>445021.10400000005</v>
      </c>
      <c r="AB33" s="80">
        <v>667531.6560000001</v>
      </c>
      <c r="AC33" s="80">
        <v>890042.2080000001</v>
      </c>
    </row>
    <row r="34">
      <c r="D34" s="78">
        <v>2022.0</v>
      </c>
      <c r="E34" s="79">
        <v>619478.64</v>
      </c>
      <c r="F34" s="79">
        <v>645647.2704</v>
      </c>
      <c r="G34" s="79">
        <v>643871.8176000001</v>
      </c>
      <c r="J34" s="78">
        <v>2022.0</v>
      </c>
      <c r="K34" s="10">
        <v>321935.90880000003</v>
      </c>
      <c r="L34" s="79">
        <v>643871.8176000001</v>
      </c>
      <c r="M34" s="10">
        <v>965807.7264</v>
      </c>
      <c r="Q34" s="78">
        <v>2022.0</v>
      </c>
      <c r="R34" s="79">
        <v>703766.8704</v>
      </c>
      <c r="S34" s="10">
        <v>643871.8176000001</v>
      </c>
      <c r="T34" s="79">
        <v>583976.7648</v>
      </c>
      <c r="Y34" s="78">
        <v>2022.0</v>
      </c>
      <c r="Z34" s="80">
        <v>482903.8632</v>
      </c>
      <c r="AA34" s="41">
        <v>643871.8176000001</v>
      </c>
      <c r="AB34" s="80">
        <v>965807.7264</v>
      </c>
      <c r="AC34" s="80">
        <v>1287743.6352000001</v>
      </c>
    </row>
    <row r="35">
      <c r="D35" s="78">
        <v>2023.0</v>
      </c>
      <c r="E35" s="79">
        <v>758272.7328</v>
      </c>
      <c r="F35" s="79">
        <v>836778.6240000001</v>
      </c>
      <c r="G35" s="79">
        <v>831452.2656</v>
      </c>
      <c r="J35" s="78">
        <v>2023.0</v>
      </c>
      <c r="K35" s="10">
        <v>415726.1328</v>
      </c>
      <c r="L35" s="79">
        <v>831452.2656</v>
      </c>
      <c r="M35" s="10">
        <v>1247178.3984</v>
      </c>
      <c r="Q35" s="78">
        <v>2023.0</v>
      </c>
      <c r="R35" s="79">
        <v>908796.6624</v>
      </c>
      <c r="S35" s="10">
        <v>831452.2656</v>
      </c>
      <c r="T35" s="79">
        <v>754107.8688</v>
      </c>
      <c r="Y35" s="78">
        <v>2023.0</v>
      </c>
      <c r="Z35" s="80">
        <v>623589.1992</v>
      </c>
      <c r="AA35" s="41">
        <v>831452.2656</v>
      </c>
      <c r="AB35" s="80">
        <v>1247178.3984</v>
      </c>
      <c r="AC35" s="80">
        <v>1662904.5312</v>
      </c>
    </row>
    <row r="36">
      <c r="D36" s="78">
        <v>2024.0</v>
      </c>
      <c r="E36" s="79">
        <v>865494.6432</v>
      </c>
      <c r="F36" s="79">
        <v>1022506.4256000001</v>
      </c>
      <c r="G36" s="79">
        <v>1011853.7088</v>
      </c>
      <c r="J36" s="78">
        <v>2024.0</v>
      </c>
      <c r="K36" s="10">
        <v>505926.8544</v>
      </c>
      <c r="L36" s="79">
        <v>1011853.7088</v>
      </c>
      <c r="M36" s="10">
        <v>1517780.5632</v>
      </c>
      <c r="Q36" s="78">
        <v>2024.0</v>
      </c>
      <c r="R36" s="79">
        <v>1105979.6352</v>
      </c>
      <c r="S36" s="10">
        <v>1011853.7088</v>
      </c>
      <c r="T36" s="79">
        <v>917727.7824</v>
      </c>
      <c r="Y36" s="78">
        <v>2024.0</v>
      </c>
      <c r="Z36" s="80">
        <v>758890.2816</v>
      </c>
      <c r="AA36" s="41">
        <v>1011853.7088</v>
      </c>
      <c r="AB36" s="80">
        <v>1517780.5632</v>
      </c>
      <c r="AC36" s="80">
        <v>2023707.4176</v>
      </c>
    </row>
    <row r="37">
      <c r="D37" s="78">
        <v>2025.0</v>
      </c>
      <c r="E37" s="79">
        <v>953032.1856000001</v>
      </c>
      <c r="F37" s="79">
        <v>1214718.4896</v>
      </c>
      <c r="G37" s="79">
        <v>1196963.9616</v>
      </c>
      <c r="J37" s="78">
        <v>2025.0</v>
      </c>
      <c r="K37" s="10">
        <v>598481.9808</v>
      </c>
      <c r="L37" s="79">
        <v>1196963.9616</v>
      </c>
      <c r="M37" s="10">
        <v>1795445.9424</v>
      </c>
      <c r="Q37" s="78">
        <v>2025.0</v>
      </c>
      <c r="R37" s="79">
        <v>1308309.4463999998</v>
      </c>
      <c r="S37" s="10">
        <v>1196963.9616</v>
      </c>
      <c r="T37" s="79">
        <v>1085618.4768</v>
      </c>
      <c r="Y37" s="78">
        <v>2025.0</v>
      </c>
      <c r="Z37" s="80">
        <v>897722.9712</v>
      </c>
      <c r="AA37" s="41">
        <v>1196963.9616</v>
      </c>
      <c r="AB37" s="80">
        <v>1795445.9424</v>
      </c>
      <c r="AC37" s="80">
        <v>2393927.9232</v>
      </c>
    </row>
    <row r="38">
      <c r="D38" s="78">
        <v>2026.0</v>
      </c>
      <c r="E38" s="79">
        <v>1026674.8800000001</v>
      </c>
      <c r="F38" s="79">
        <v>1419204.336</v>
      </c>
      <c r="G38" s="79">
        <v>1392572.544</v>
      </c>
      <c r="J38" s="78">
        <v>2026.0</v>
      </c>
      <c r="K38" s="10">
        <v>696286.272</v>
      </c>
      <c r="L38" s="79">
        <v>1392572.544</v>
      </c>
      <c r="M38" s="10">
        <v>2088858.816</v>
      </c>
      <c r="Q38" s="78">
        <v>2026.0</v>
      </c>
      <c r="R38" s="79">
        <v>1522114.1759999997</v>
      </c>
      <c r="S38" s="10">
        <v>1392572.544</v>
      </c>
      <c r="T38" s="79">
        <v>1263030.912</v>
      </c>
      <c r="Y38" s="78">
        <v>2026.0</v>
      </c>
      <c r="Z38" s="80">
        <v>1044429.408</v>
      </c>
      <c r="AA38" s="41">
        <v>1392572.544</v>
      </c>
      <c r="AB38" s="80">
        <v>2088858.816</v>
      </c>
      <c r="AC38" s="80">
        <v>2785145.088</v>
      </c>
    </row>
    <row r="39">
      <c r="D39" s="78">
        <v>2027.0</v>
      </c>
      <c r="E39" s="79">
        <v>1100317.5744</v>
      </c>
      <c r="F39" s="79">
        <v>1649858.8128</v>
      </c>
      <c r="G39" s="79">
        <v>1612574.304</v>
      </c>
      <c r="J39" s="78">
        <v>2027.0</v>
      </c>
      <c r="K39" s="10">
        <v>806287.152</v>
      </c>
      <c r="L39" s="79">
        <v>1612574.304</v>
      </c>
      <c r="M39" s="10">
        <v>2418861.4560000002</v>
      </c>
      <c r="Q39" s="78">
        <v>2027.0</v>
      </c>
      <c r="R39" s="79">
        <v>1762581.2159999998</v>
      </c>
      <c r="S39" s="10">
        <v>1612574.304</v>
      </c>
      <c r="T39" s="79">
        <v>1462567.392</v>
      </c>
      <c r="Y39" s="78">
        <v>2027.0</v>
      </c>
      <c r="Z39" s="80">
        <v>1209430.7280000001</v>
      </c>
      <c r="AA39" s="41">
        <v>1612574.304</v>
      </c>
      <c r="AB39" s="80">
        <v>2418861.4560000002</v>
      </c>
      <c r="AC39" s="80">
        <v>3225148.608</v>
      </c>
    </row>
    <row r="40">
      <c r="D40" s="78">
        <v>2028.0</v>
      </c>
      <c r="E40" s="79">
        <v>1173960.2688</v>
      </c>
      <c r="F40" s="79">
        <v>1880513.2896</v>
      </c>
      <c r="G40" s="79">
        <v>1832576.064</v>
      </c>
      <c r="J40" s="78">
        <v>2028.0</v>
      </c>
      <c r="K40" s="10">
        <v>916288.032</v>
      </c>
      <c r="L40" s="79">
        <v>1832576.064</v>
      </c>
      <c r="M40" s="10">
        <v>2748864.0960000004</v>
      </c>
      <c r="Q40" s="78">
        <v>2028.0</v>
      </c>
      <c r="R40" s="79">
        <v>2003048.2559999998</v>
      </c>
      <c r="S40" s="10">
        <v>1832576.064</v>
      </c>
      <c r="T40" s="79">
        <v>1662103.872</v>
      </c>
      <c r="Y40" s="78">
        <v>2028.0</v>
      </c>
      <c r="Z40" s="80">
        <v>1374432.0480000002</v>
      </c>
      <c r="AA40" s="41">
        <v>1832576.064</v>
      </c>
      <c r="AB40" s="80">
        <v>2748864.0960000004</v>
      </c>
      <c r="AC40" s="80">
        <v>3665152.128</v>
      </c>
    </row>
    <row r="41">
      <c r="D41" s="78">
        <v>2029.0</v>
      </c>
      <c r="E41" s="79">
        <v>1247602.9631999999</v>
      </c>
      <c r="F41" s="79">
        <v>2111167.7664</v>
      </c>
      <c r="G41" s="79">
        <v>2052577.824</v>
      </c>
      <c r="J41" s="78">
        <v>2029.0</v>
      </c>
      <c r="K41" s="10">
        <v>1026288.912</v>
      </c>
      <c r="L41" s="79">
        <v>2052577.824</v>
      </c>
      <c r="M41" s="10">
        <v>3078866.7360000005</v>
      </c>
      <c r="Q41" s="78">
        <v>2029.0</v>
      </c>
      <c r="R41" s="79">
        <v>2243515.2959999996</v>
      </c>
      <c r="S41" s="10">
        <v>2052577.824</v>
      </c>
      <c r="T41" s="79">
        <v>1861640.352</v>
      </c>
      <c r="Y41" s="78">
        <v>2029.0</v>
      </c>
      <c r="Z41" s="80">
        <v>1539433.3680000002</v>
      </c>
      <c r="AA41" s="41">
        <v>2052577.824</v>
      </c>
      <c r="AB41" s="80">
        <v>3078866.7360000005</v>
      </c>
      <c r="AC41" s="80">
        <v>4105155.648</v>
      </c>
    </row>
    <row r="42">
      <c r="D42" s="78">
        <v>2030.0</v>
      </c>
      <c r="E42" s="79">
        <v>1321245.6575999998</v>
      </c>
      <c r="F42" s="79">
        <v>2341822.2432</v>
      </c>
      <c r="G42" s="79">
        <v>2272579.584</v>
      </c>
      <c r="J42" s="78">
        <v>2030.0</v>
      </c>
      <c r="K42" s="10">
        <v>1136289.792</v>
      </c>
      <c r="L42" s="79">
        <v>2272579.584</v>
      </c>
      <c r="M42" s="10">
        <v>3408869.3760000006</v>
      </c>
      <c r="Q42" s="78">
        <v>2030.0</v>
      </c>
      <c r="R42" s="79">
        <v>2483982.3359999997</v>
      </c>
      <c r="S42" s="10">
        <v>2272579.584</v>
      </c>
      <c r="T42" s="79">
        <v>2061176.832</v>
      </c>
      <c r="Y42" s="78">
        <v>2030.0</v>
      </c>
      <c r="Z42" s="80">
        <v>1704434.6880000003</v>
      </c>
      <c r="AA42" s="41">
        <v>2272579.584</v>
      </c>
      <c r="AB42" s="80">
        <v>3408869.3760000006</v>
      </c>
      <c r="AC42" s="80">
        <v>4545159.168</v>
      </c>
    </row>
    <row r="71">
      <c r="E71" s="70"/>
      <c r="F71" s="77" t="s">
        <v>56</v>
      </c>
      <c r="G71" s="81" t="s">
        <v>57</v>
      </c>
      <c r="K71" s="70"/>
      <c r="L71" s="81" t="s">
        <v>57</v>
      </c>
      <c r="Q71" s="70"/>
      <c r="R71" s="81" t="s">
        <v>57</v>
      </c>
      <c r="Y71" s="77" t="s">
        <v>87</v>
      </c>
      <c r="Z71" s="81" t="s">
        <v>57</v>
      </c>
    </row>
    <row r="72">
      <c r="E72" s="71" t="s">
        <v>61</v>
      </c>
      <c r="F72" s="70">
        <v>159.0</v>
      </c>
      <c r="G72" s="74">
        <f>E42</f>
        <v>1321245.658</v>
      </c>
      <c r="K72" s="77" t="s">
        <v>77</v>
      </c>
      <c r="L72" s="79">
        <f>K42</f>
        <v>1136289.792</v>
      </c>
      <c r="Q72" s="77" t="s">
        <v>80</v>
      </c>
      <c r="R72" s="79">
        <f>R42</f>
        <v>2483982.336</v>
      </c>
      <c r="Y72" s="28" t="s">
        <v>83</v>
      </c>
      <c r="Z72" s="80">
        <f>Z42</f>
        <v>1704434.688</v>
      </c>
    </row>
    <row r="73">
      <c r="E73" s="71" t="s">
        <v>63</v>
      </c>
      <c r="F73" s="71">
        <v>498.0</v>
      </c>
      <c r="G73" s="74">
        <f>F42</f>
        <v>2341822.243</v>
      </c>
      <c r="K73" s="77" t="s">
        <v>78</v>
      </c>
      <c r="L73" s="79">
        <f>L42</f>
        <v>2272579.584</v>
      </c>
      <c r="Q73" s="77" t="s">
        <v>81</v>
      </c>
      <c r="R73" s="79">
        <f>S42</f>
        <v>2272579.584</v>
      </c>
      <c r="Y73" s="28" t="s">
        <v>84</v>
      </c>
      <c r="Z73" s="80">
        <f>AA42</f>
        <v>2272579.584</v>
      </c>
    </row>
    <row r="74">
      <c r="E74" s="71" t="s">
        <v>65</v>
      </c>
      <c r="F74" s="75">
        <v>475.09090909090907</v>
      </c>
      <c r="G74" s="74">
        <f>G42</f>
        <v>2272579.584</v>
      </c>
      <c r="K74" s="77" t="s">
        <v>79</v>
      </c>
      <c r="L74" s="79">
        <f>M42</f>
        <v>3408869.376</v>
      </c>
      <c r="Q74" s="77" t="s">
        <v>82</v>
      </c>
      <c r="R74" s="79">
        <f>T42</f>
        <v>2061176.832</v>
      </c>
      <c r="Y74" s="28" t="s">
        <v>85</v>
      </c>
      <c r="Z74" s="80">
        <f>AB42</f>
        <v>3408869.376</v>
      </c>
    </row>
    <row r="75">
      <c r="Y75" s="28" t="s">
        <v>86</v>
      </c>
      <c r="Z75" s="80">
        <f>AC42</f>
        <v>4545159.168</v>
      </c>
    </row>
  </sheetData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477CF-3021-4D1F-BF35-8D92DE29658E}"/>
</file>

<file path=customXml/itemProps2.xml><?xml version="1.0" encoding="utf-8"?>
<ds:datastoreItem xmlns:ds="http://schemas.openxmlformats.org/officeDocument/2006/customXml" ds:itemID="{E119DFBB-A35B-4953-8B5F-C34640C0B35F}"/>
</file>

<file path=customXml/itemProps3.xml><?xml version="1.0" encoding="utf-8"?>
<ds:datastoreItem xmlns:ds="http://schemas.openxmlformats.org/officeDocument/2006/customXml" ds:itemID="{7485AA9F-B1A3-45DB-AAEE-29B2FF1C941E}"/>
</file>